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17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<sst xmlns="http://schemas.openxmlformats.org/spreadsheetml/2006/main" count="1391" uniqueCount="231">
  <si>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</si>
  <si>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</si>
  <si>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</si>
  <si>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</si>
  <si>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</si>
  <si>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</si>
  <si>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</si>
  <si>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</si>
  <si>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</si>
  <si>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</si>
  <si>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</si>
  <si>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</si>
  <si>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</si>
  <si>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</si>
  <si>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</si>
  <si>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</si>
  <si>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</si>
  <si>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</si>
  <si>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</si>
  <si>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</si>
  <si>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</si>
  <si>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</si>
  <si>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</si>
  <si>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</si>
  <si>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</si>
  <si>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</si>
  <si>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</si>
  <si>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</si>
  <si>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</si>
  <si>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</si>
  <si>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</si>
  <si>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</si>
  <si>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</si>
  <si>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</si>
  <si>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</si>
  <si>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</si>
  <si>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</si>
  <si>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</si>
  <si>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</si>
  <si>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</si>
  <si>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</si>
  <si>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</si>
  <si>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</si>
  <si>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</si>
  <si>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</si>
  <si>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</si>
  <si>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</si>
  <si>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</si>
  <si>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</si>
  <si>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</si>
  <si>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</si>
  <si>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</si>
  <si>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</si>
  <si>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</si>
  <si>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</si>
  <si>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</si>
  <si>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</si>
  <si>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</si>
  <si>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</si>
  <si>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</si>
  <si>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</si>
  <si>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</si>
  <si>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</si>
  <si>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</si>
  <si>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</si>
  <si>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</si>
  <si>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</si>
  <si>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</si>
  <si>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</si>
  <si>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</si>
  <si>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</si>
  <si>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</si>
  <si>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</si>
  <si>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</si>
  <si>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</si>
  <si>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</si>
  <si>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</si>
  <si>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</si>
  <si>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</si>
  <si>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</si>
  <si>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</si>
  <si>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</si>
  <si>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</si>
  <si>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</si>
  <si>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</si>
  <si>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</si>
  <si>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</si>
  <si>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</si>
  <si>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</si>
  <si>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</si>
  <si>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</si>
  <si>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</si>
  <si>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</si>
  <si>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</si>
  <si>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</si>
  <si>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</si>
  <si>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</si>
  <si>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</si>
  <si>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</si>
  <si>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</si>
  <si>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</si>
  <si>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</si>
  <si>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</si>
  <si>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</si>
  <si>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</si>
  <si>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</si>
  <si>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</si>
  <si>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</si>
  <si>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</si>
  <si>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</si>
  <si>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</si>
  <si>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</si>
  <si>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</si>
  <si>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</si>
  <si>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</si>
  <si>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</si>
  <si>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</si>
  <si>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</si>
  <si>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</si>
  <si>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</si>
  <si>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</si>
  <si>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</si>
  <si>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</si>
  <si>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</si>
  <si>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</si>
  <si>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</si>
  <si>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</si>
  <si>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</si>
  <si>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</si>
  <si>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</si>
  <si>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</si>
  <si>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</si>
  <si>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</si>
  <si>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</si>
  <si>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</si>
  <si>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</si>
  <si>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</si>
  <si>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</si>
  <si>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</si>
  <si>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</si>
  <si>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</si>
  <si>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</si>
  <si>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</si>
  <si>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</si>
  <si>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</si>
  <si>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</si>
  <si>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</si>
  <si>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</si>
  <si>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</si>
  <si>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</si>
  <si>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</si>
  <si>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</si>
  <si>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</si>
  <si>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</si>
  <si>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</si>
  <si>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</si>
  <si>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</si>
  <si>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</si>
  <si>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</si>
  <si>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</si>
  <si>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</si>
  <si>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</si>
  <si>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</si>
  <si>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</si>
  <si>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</si>
  <si>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</si>
  <si>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</si>
  <si>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</si>
  <si>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</si>
  <si>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</si>
  <si>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</si>
  <si>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</si>
  <si>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</si>
  <si>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</si>
  <si>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</si>
  <si>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</si>
  <si>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</si>
  <si>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</si>
  <si>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</si>
  <si>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</si>
  <si>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</si>
  <si>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</si>
  <si>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</si>
  <si>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</si>
  <si>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</si>
  <si>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</si>
  <si>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</si>
  <si>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</si>
  <si>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</si>
  <si>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</si>
  <si>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</si>
  <si>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</si>
  <si>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</si>
  <si>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</si>
  <si>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</si>
  <si>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</si>
  <si>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</si>
  <si>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</si>
  <si>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</si>
  <si>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</si>
  <si>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</si>
  <si>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</si>
  <si>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</si>
  <si>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</si>
  <si>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</si>
  <si>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</si>
  <si>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</si>
  <si>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</si>
  <si>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</si>
  <si>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</si>
  <si>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</si>
  <si>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</si>
  <si>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</si>
  <si>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</si>
  <si>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</si>
  <si>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</si>
  <si>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</si>
  <si>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</si>
  <si>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</si>
  <si>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</si>
  <si>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</si>
  <si>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</si>
  <si>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04.09.2017</t>
    </r>
    <r>
      <rPr>
        <b/>
        <sz val="16"/>
        <rFont val="Times New Roman"/>
        <family val="1"/>
      </rPr>
      <t>р.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</si>
  <si>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</si>
  <si>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</si>
  <si>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</si>
  <si>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</si>
  <si>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</si>
  <si>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</si>
  <si>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</si>
  <si>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вересні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</si>
</sst>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8626347.59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63" zoomScaleNormal="63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2" t="s">
        <v>222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85"/>
      <c r="S1" s="85"/>
    </row>
    <row r="2" spans="2:19" s="1" customFormat="1" ht="15.75" customHeight="1">
      <c r="B2" s="333"/>
      <c r="C2" s="333"/>
      <c r="D2" s="33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4"/>
      <c r="B3" s="336"/>
      <c r="C3" s="337" t="s">
        <v>0</v>
      </c>
      <c r="D3" s="338" t="s">
        <v>137</v>
      </c>
      <c r="E3" s="31"/>
      <c r="F3" s="339" t="s">
        <v>26</v>
      </c>
      <c r="G3" s="340"/>
      <c r="H3" s="340"/>
      <c r="I3" s="340"/>
      <c r="J3" s="341"/>
      <c r="K3" s="82"/>
      <c r="L3" s="82"/>
      <c r="M3" s="82"/>
      <c r="N3" s="342" t="s">
        <v>227</v>
      </c>
      <c r="O3" s="343" t="s">
        <v>230</v>
      </c>
      <c r="P3" s="343"/>
      <c r="Q3" s="343"/>
      <c r="R3" s="343"/>
      <c r="S3" s="343"/>
    </row>
    <row r="4" spans="1:19" ht="22.5" customHeight="1">
      <c r="A4" s="334"/>
      <c r="B4" s="336"/>
      <c r="C4" s="337"/>
      <c r="D4" s="338"/>
      <c r="E4" s="344" t="s">
        <v>224</v>
      </c>
      <c r="F4" s="326" t="s">
        <v>33</v>
      </c>
      <c r="G4" s="317" t="s">
        <v>225</v>
      </c>
      <c r="H4" s="328" t="s">
        <v>226</v>
      </c>
      <c r="I4" s="317" t="s">
        <v>125</v>
      </c>
      <c r="J4" s="328" t="s">
        <v>126</v>
      </c>
      <c r="K4" s="84" t="s">
        <v>128</v>
      </c>
      <c r="L4" s="202" t="s">
        <v>111</v>
      </c>
      <c r="M4" s="89" t="s">
        <v>63</v>
      </c>
      <c r="N4" s="328"/>
      <c r="O4" s="330" t="s">
        <v>229</v>
      </c>
      <c r="P4" s="317" t="s">
        <v>49</v>
      </c>
      <c r="Q4" s="319" t="s">
        <v>48</v>
      </c>
      <c r="R4" s="90" t="s">
        <v>64</v>
      </c>
      <c r="S4" s="90"/>
    </row>
    <row r="5" spans="1:19" ht="67.5" customHeight="1">
      <c r="A5" s="335"/>
      <c r="B5" s="336"/>
      <c r="C5" s="337"/>
      <c r="D5" s="338"/>
      <c r="E5" s="345"/>
      <c r="F5" s="327"/>
      <c r="G5" s="318"/>
      <c r="H5" s="329"/>
      <c r="I5" s="318"/>
      <c r="J5" s="329"/>
      <c r="K5" s="320" t="s">
        <v>228</v>
      </c>
      <c r="L5" s="321"/>
      <c r="M5" s="322"/>
      <c r="N5" s="329"/>
      <c r="O5" s="331"/>
      <c r="P5" s="318"/>
      <c r="Q5" s="319"/>
      <c r="R5" s="323" t="s">
        <v>202</v>
      </c>
      <c r="S5" s="324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946631.6</v>
      </c>
      <c r="F8" s="149">
        <f>F9+F15+F18+F19+F23+F17</f>
        <v>840540.48</v>
      </c>
      <c r="G8" s="149">
        <f>F8-E8</f>
        <v>-106091.12</v>
      </c>
      <c r="H8" s="150">
        <f>F8/E8*100</f>
        <v>88.79277640847822</v>
      </c>
      <c r="I8" s="151">
        <f aca="true" t="shared" si="0" ref="I8:I15">F8-D8</f>
        <v>-457910.6200000001</v>
      </c>
      <c r="J8" s="151">
        <f aca="true" t="shared" si="1" ref="J8:J15">F8/D8*100</f>
        <v>64.73408817628942</v>
      </c>
      <c r="K8" s="149">
        <v>708038.65</v>
      </c>
      <c r="L8" s="149">
        <f aca="true" t="shared" si="2" ref="L8:L25">F8-K8</f>
        <v>132501.82999999996</v>
      </c>
      <c r="M8" s="203">
        <f aca="true" t="shared" si="3" ref="M8:M20">F8/K8</f>
        <v>1.1871392613948404</v>
      </c>
      <c r="N8" s="149">
        <f>N9+N15+N18+N19+N23+N17</f>
        <v>100820.39999999997</v>
      </c>
      <c r="O8" s="149">
        <f>O9+O15+O18+O19+O23+O17</f>
        <v>2466.9999999999636</v>
      </c>
      <c r="P8" s="149">
        <f>O8-N8</f>
        <v>-98353.4</v>
      </c>
      <c r="Q8" s="149">
        <f aca="true" t="shared" si="4" ref="Q8:Q16">O8/N8*100</f>
        <v>2.4469254238229214</v>
      </c>
      <c r="R8" s="15">
        <f>R9+R15+R18+R19+R23</f>
        <v>102514</v>
      </c>
      <c r="S8" s="15">
        <f>O8-R8</f>
        <v>-100047.00000000003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547140</v>
      </c>
      <c r="F9" s="154">
        <v>486778.02</v>
      </c>
      <c r="G9" s="148">
        <f>F9-E9</f>
        <v>-60361.97999999998</v>
      </c>
      <c r="H9" s="155">
        <f>F9/E9*100</f>
        <v>88.96772672442154</v>
      </c>
      <c r="I9" s="156">
        <f t="shared" si="0"/>
        <v>-279866.98</v>
      </c>
      <c r="J9" s="156">
        <f t="shared" si="1"/>
        <v>63.49457962942431</v>
      </c>
      <c r="K9" s="225">
        <v>385326.41</v>
      </c>
      <c r="L9" s="157">
        <f t="shared" si="2"/>
        <v>101451.61000000004</v>
      </c>
      <c r="M9" s="204">
        <f t="shared" si="3"/>
        <v>1.2632874554329148</v>
      </c>
      <c r="N9" s="155">
        <f>E9-серпень!E9</f>
        <v>65900</v>
      </c>
      <c r="O9" s="158">
        <f>F9-серпень!F9</f>
        <v>1997.7399999999907</v>
      </c>
      <c r="P9" s="159">
        <f>O9-N9</f>
        <v>-63902.26000000001</v>
      </c>
      <c r="Q9" s="156">
        <f t="shared" si="4"/>
        <v>3.031471927162353</v>
      </c>
      <c r="R9" s="99">
        <v>71000</v>
      </c>
      <c r="S9" s="99">
        <f>O9-R9</f>
        <v>-69002.26000000001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498306</v>
      </c>
      <c r="F10" s="138">
        <v>445732.08</v>
      </c>
      <c r="G10" s="102">
        <f aca="true" t="shared" si="5" ref="G10:G35">F10-E10</f>
        <v>-52573.919999999984</v>
      </c>
      <c r="H10" s="104">
        <f aca="true" t="shared" si="6" ref="H10:H15">F10/E10*100</f>
        <v>89.44947080709444</v>
      </c>
      <c r="I10" s="103">
        <f t="shared" si="0"/>
        <v>-255584.91999999998</v>
      </c>
      <c r="J10" s="103">
        <f t="shared" si="1"/>
        <v>63.556434536735885</v>
      </c>
      <c r="K10" s="105">
        <v>339269.05</v>
      </c>
      <c r="L10" s="105">
        <f t="shared" si="2"/>
        <v>106463.03000000003</v>
      </c>
      <c r="M10" s="205">
        <f t="shared" si="3"/>
        <v>1.313801185224529</v>
      </c>
      <c r="N10" s="104">
        <f>E10-серпень!E10</f>
        <v>60404</v>
      </c>
      <c r="O10" s="142">
        <f>F10-серпень!F10</f>
        <v>1954.5499999999884</v>
      </c>
      <c r="P10" s="105">
        <f aca="true" t="shared" si="7" ref="P10:P40">O10-N10</f>
        <v>-58449.45000000001</v>
      </c>
      <c r="Q10" s="103">
        <f t="shared" si="4"/>
        <v>3.2357956426726515</v>
      </c>
      <c r="R10" s="36"/>
      <c r="S10" s="99" t="e">
        <f>#N/A</f>
        <v>#N/A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34200</v>
      </c>
      <c r="F11" s="138">
        <v>26169.54</v>
      </c>
      <c r="G11" s="102">
        <f t="shared" si="5"/>
        <v>-8030.459999999999</v>
      </c>
      <c r="H11" s="104">
        <f t="shared" si="6"/>
        <v>76.51912280701755</v>
      </c>
      <c r="I11" s="103">
        <f t="shared" si="0"/>
        <v>-20336.46</v>
      </c>
      <c r="J11" s="103">
        <f t="shared" si="1"/>
        <v>56.271319829699394</v>
      </c>
      <c r="K11" s="105">
        <v>28497.47</v>
      </c>
      <c r="L11" s="105">
        <f t="shared" si="2"/>
        <v>-2327.9300000000003</v>
      </c>
      <c r="M11" s="205">
        <f t="shared" si="3"/>
        <v>0.9183109939233202</v>
      </c>
      <c r="N11" s="104">
        <f>E11-серпень!E11</f>
        <v>4020</v>
      </c>
      <c r="O11" s="142">
        <f>F11-серпень!F11</f>
        <v>0</v>
      </c>
      <c r="P11" s="105">
        <f t="shared" si="7"/>
        <v>-4020</v>
      </c>
      <c r="Q11" s="103">
        <f t="shared" si="4"/>
        <v>0</v>
      </c>
      <c r="R11" s="36"/>
      <c r="S11" s="99" t="e">
        <f>#N/A</f>
        <v>#N/A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6180</v>
      </c>
      <c r="F12" s="138">
        <v>6660.54</v>
      </c>
      <c r="G12" s="102">
        <f t="shared" si="5"/>
        <v>480.53999999999996</v>
      </c>
      <c r="H12" s="104">
        <f t="shared" si="6"/>
        <v>107.7757281553398</v>
      </c>
      <c r="I12" s="103">
        <f t="shared" si="0"/>
        <v>-1619.46</v>
      </c>
      <c r="J12" s="103">
        <f t="shared" si="1"/>
        <v>80.44130434782608</v>
      </c>
      <c r="K12" s="105">
        <v>7409.72</v>
      </c>
      <c r="L12" s="105">
        <f t="shared" si="2"/>
        <v>-749.1800000000003</v>
      </c>
      <c r="M12" s="205">
        <f t="shared" si="3"/>
        <v>0.8988922658346064</v>
      </c>
      <c r="N12" s="104">
        <f>E12-серпень!E12</f>
        <v>900</v>
      </c>
      <c r="O12" s="142">
        <f>F12-серпень!F12</f>
        <v>32.26000000000022</v>
      </c>
      <c r="P12" s="105">
        <f t="shared" si="7"/>
        <v>-867.7399999999998</v>
      </c>
      <c r="Q12" s="103">
        <f t="shared" si="4"/>
        <v>3.5844444444444687</v>
      </c>
      <c r="R12" s="36"/>
      <c r="S12" s="99" t="e">
        <f>#N/A</f>
        <v>#N/A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7590</v>
      </c>
      <c r="F13" s="138">
        <v>7286.39</v>
      </c>
      <c r="G13" s="102">
        <f t="shared" si="5"/>
        <v>-303.6099999999997</v>
      </c>
      <c r="H13" s="104">
        <f t="shared" si="6"/>
        <v>95.99986824769434</v>
      </c>
      <c r="I13" s="103">
        <f t="shared" si="0"/>
        <v>-2103.6099999999997</v>
      </c>
      <c r="J13" s="103">
        <f t="shared" si="1"/>
        <v>77.59733759318425</v>
      </c>
      <c r="K13" s="105">
        <v>7511.25</v>
      </c>
      <c r="L13" s="105">
        <f t="shared" si="2"/>
        <v>-224.85999999999967</v>
      </c>
      <c r="M13" s="205">
        <f t="shared" si="3"/>
        <v>0.9700635713097021</v>
      </c>
      <c r="N13" s="104">
        <f>E13-серпень!E13</f>
        <v>480</v>
      </c>
      <c r="O13" s="142">
        <f>F13-серпень!F13</f>
        <v>10.930000000000291</v>
      </c>
      <c r="P13" s="105">
        <f t="shared" si="7"/>
        <v>-469.0699999999997</v>
      </c>
      <c r="Q13" s="103">
        <f t="shared" si="4"/>
        <v>2.277083333333394</v>
      </c>
      <c r="R13" s="36"/>
      <c r="S13" s="99" t="e">
        <f>#N/A</f>
        <v>#N/A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864</v>
      </c>
      <c r="F14" s="138">
        <v>929.47</v>
      </c>
      <c r="G14" s="102">
        <f t="shared" si="5"/>
        <v>65.47000000000003</v>
      </c>
      <c r="H14" s="104">
        <f t="shared" si="6"/>
        <v>107.5775462962963</v>
      </c>
      <c r="I14" s="103">
        <f t="shared" si="0"/>
        <v>-222.52999999999997</v>
      </c>
      <c r="J14" s="103">
        <f t="shared" si="1"/>
        <v>80.68315972222221</v>
      </c>
      <c r="K14" s="105">
        <v>2638.91</v>
      </c>
      <c r="L14" s="105">
        <f t="shared" si="2"/>
        <v>-1709.4399999999998</v>
      </c>
      <c r="M14" s="205">
        <f t="shared" si="3"/>
        <v>0.3522173927871735</v>
      </c>
      <c r="N14" s="104">
        <f>E14-серпень!E14</f>
        <v>96</v>
      </c>
      <c r="O14" s="142">
        <f>F14-серпень!F14</f>
        <v>0</v>
      </c>
      <c r="P14" s="105">
        <f t="shared" si="7"/>
        <v>-96</v>
      </c>
      <c r="Q14" s="103">
        <f t="shared" si="4"/>
        <v>0</v>
      </c>
      <c r="R14" s="36"/>
      <c r="S14" s="99" t="e">
        <f>#N/A</f>
        <v>#N/A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f>341+110</f>
        <v>451</v>
      </c>
      <c r="F15" s="154">
        <v>325.81</v>
      </c>
      <c r="G15" s="148">
        <f t="shared" si="5"/>
        <v>-125.19</v>
      </c>
      <c r="H15" s="155">
        <f t="shared" si="6"/>
        <v>72.24168514412416</v>
      </c>
      <c r="I15" s="156">
        <f t="shared" si="0"/>
        <v>-225.19</v>
      </c>
      <c r="J15" s="156">
        <f t="shared" si="1"/>
        <v>59.13067150635209</v>
      </c>
      <c r="K15" s="159">
        <v>386.82</v>
      </c>
      <c r="L15" s="159">
        <f t="shared" si="2"/>
        <v>-61.00999999999999</v>
      </c>
      <c r="M15" s="206">
        <f t="shared" si="3"/>
        <v>0.842278062147769</v>
      </c>
      <c r="N15" s="155">
        <f>E15-серпень!E15</f>
        <v>0</v>
      </c>
      <c r="O15" s="158">
        <f>F15-серпень!F15</f>
        <v>0</v>
      </c>
      <c r="P15" s="159">
        <f t="shared" si="7"/>
        <v>0</v>
      </c>
      <c r="Q15" s="156" t="e">
        <f t="shared" si="4"/>
        <v>#DIV/0!</v>
      </c>
      <c r="R15" s="36">
        <v>0</v>
      </c>
      <c r="S15" s="99" t="e">
        <f>#N/A</f>
        <v>#N/A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148">
        <f t="shared" si="5"/>
        <v>0</v>
      </c>
      <c r="H16" s="155" t="e">
        <f>F16/E16/100</f>
        <v>#DIV/0!</v>
      </c>
      <c r="I16" s="156">
        <f aca="true" t="shared" si="8" ref="I16:I40">F16-D16</f>
        <v>0</v>
      </c>
      <c r="J16" s="156" t="e">
        <f aca="true" t="shared" si="9" ref="J16:J39">F16/D16*100</f>
        <v>#DIV/0!</v>
      </c>
      <c r="K16" s="105">
        <v>0</v>
      </c>
      <c r="L16" s="159">
        <f t="shared" si="2"/>
        <v>0</v>
      </c>
      <c r="M16" s="206" t="e">
        <f t="shared" si="3"/>
        <v>#DIV/0!</v>
      </c>
      <c r="N16" s="155">
        <f>E16-серпень!E16</f>
        <v>0</v>
      </c>
      <c r="O16" s="158">
        <f>F16-серпень!F16</f>
        <v>0</v>
      </c>
      <c r="P16" s="159">
        <f t="shared" si="7"/>
        <v>0</v>
      </c>
      <c r="Q16" s="156" t="e">
        <f t="shared" si="4"/>
        <v>#DIV/0!</v>
      </c>
      <c r="R16" s="103">
        <f>O16-358.81</f>
        <v>-358.81</v>
      </c>
      <c r="S16" s="99" t="e">
        <f>#N/A</f>
        <v>#N/A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48">
        <f t="shared" si="5"/>
        <v>0.49</v>
      </c>
      <c r="H17" s="155"/>
      <c r="I17" s="156">
        <f t="shared" si="8"/>
        <v>0.49</v>
      </c>
      <c r="J17" s="156"/>
      <c r="K17" s="165">
        <v>0.17</v>
      </c>
      <c r="L17" s="159">
        <f t="shared" si="2"/>
        <v>0.31999999999999995</v>
      </c>
      <c r="M17" s="206">
        <f t="shared" si="3"/>
        <v>2.88235294117647</v>
      </c>
      <c r="N17" s="155">
        <f>E17-серпень!E17</f>
        <v>0</v>
      </c>
      <c r="O17" s="158">
        <f>F17-серпень!F17</f>
        <v>0</v>
      </c>
      <c r="P17" s="159">
        <f t="shared" si="7"/>
        <v>0</v>
      </c>
      <c r="Q17" s="156"/>
      <c r="R17" s="103"/>
      <c r="S17" s="99" t="e">
        <f>#N/A</f>
        <v>#N/A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90</v>
      </c>
      <c r="F18" s="154">
        <v>147.46</v>
      </c>
      <c r="G18" s="148">
        <f t="shared" si="5"/>
        <v>57.46000000000001</v>
      </c>
      <c r="H18" s="155">
        <f>F18/E18*100</f>
        <v>163.84444444444446</v>
      </c>
      <c r="I18" s="156">
        <f t="shared" si="8"/>
        <v>22.460000000000008</v>
      </c>
      <c r="J18" s="156">
        <f t="shared" si="9"/>
        <v>117.968</v>
      </c>
      <c r="K18" s="159">
        <v>105.8</v>
      </c>
      <c r="L18" s="159">
        <f t="shared" si="2"/>
        <v>41.66000000000001</v>
      </c>
      <c r="M18" s="206">
        <f t="shared" si="3"/>
        <v>1.3937618147448017</v>
      </c>
      <c r="N18" s="155">
        <f>E18-серпень!E18</f>
        <v>0</v>
      </c>
      <c r="O18" s="158">
        <f>F18-серпень!F18</f>
        <v>0</v>
      </c>
      <c r="P18" s="159">
        <f t="shared" si="7"/>
        <v>0</v>
      </c>
      <c r="Q18" s="156" t="e">
        <f aca="true" t="shared" si="10" ref="Q18:Q24">O18/N18*100</f>
        <v>#DIV/0!</v>
      </c>
      <c r="R18" s="36">
        <v>0</v>
      </c>
      <c r="S18" s="99" t="e">
        <f>#N/A</f>
        <v>#N/A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94800</v>
      </c>
      <c r="F19" s="221">
        <v>64720.32</v>
      </c>
      <c r="G19" s="148">
        <f t="shared" si="5"/>
        <v>-30079.68</v>
      </c>
      <c r="H19" s="155">
        <f aca="true" t="shared" si="11" ref="H19:H39">F19/E19*100</f>
        <v>68.27037974683545</v>
      </c>
      <c r="I19" s="156">
        <f t="shared" si="8"/>
        <v>-65279.68</v>
      </c>
      <c r="J19" s="156">
        <f t="shared" si="9"/>
        <v>49.78486153846154</v>
      </c>
      <c r="K19" s="159">
        <v>74352.8</v>
      </c>
      <c r="L19" s="159">
        <f t="shared" si="2"/>
        <v>-9632.480000000003</v>
      </c>
      <c r="M19" s="206">
        <f t="shared" si="3"/>
        <v>0.8704489945234073</v>
      </c>
      <c r="N19" s="155">
        <f>E19-серпень!E19</f>
        <v>11800</v>
      </c>
      <c r="O19" s="158">
        <f>F19-серпень!F19</f>
        <v>1.7900000000008731</v>
      </c>
      <c r="P19" s="159">
        <f t="shared" si="7"/>
        <v>-11798.21</v>
      </c>
      <c r="Q19" s="156">
        <f t="shared" si="10"/>
        <v>0.01516949152543113</v>
      </c>
      <c r="R19" s="291">
        <v>8800</v>
      </c>
      <c r="S19" s="99" t="e">
        <f>#N/A</f>
        <v>#N/A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56250</v>
      </c>
      <c r="F20" s="199">
        <v>41667.95</v>
      </c>
      <c r="G20" s="250">
        <f t="shared" si="5"/>
        <v>-14582.050000000003</v>
      </c>
      <c r="H20" s="193">
        <f t="shared" si="11"/>
        <v>74.07635555555555</v>
      </c>
      <c r="I20" s="251">
        <f t="shared" si="8"/>
        <v>-34832.05</v>
      </c>
      <c r="J20" s="251">
        <f t="shared" si="9"/>
        <v>54.46790849673202</v>
      </c>
      <c r="K20" s="164">
        <v>74352.8</v>
      </c>
      <c r="L20" s="164">
        <f t="shared" si="2"/>
        <v>-32684.850000000006</v>
      </c>
      <c r="M20" s="253">
        <f t="shared" si="3"/>
        <v>0.5604086194467457</v>
      </c>
      <c r="N20" s="193">
        <f>E20-серпень!E20</f>
        <v>6850</v>
      </c>
      <c r="O20" s="177">
        <f>F20-серпень!F20</f>
        <v>1.7999999999956344</v>
      </c>
      <c r="P20" s="164">
        <f t="shared" si="7"/>
        <v>-6848.200000000004</v>
      </c>
      <c r="Q20" s="251">
        <f t="shared" si="10"/>
        <v>0.026277372262709993</v>
      </c>
      <c r="R20" s="103">
        <v>4450</v>
      </c>
      <c r="S20" s="103" t="e">
        <f>#N/A</f>
        <v>#N/A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7750</v>
      </c>
      <c r="F21" s="199">
        <v>4942.32</v>
      </c>
      <c r="G21" s="250">
        <f t="shared" si="5"/>
        <v>-2807.6800000000003</v>
      </c>
      <c r="H21" s="193">
        <f t="shared" si="11"/>
        <v>63.771870967741926</v>
      </c>
      <c r="I21" s="251">
        <f t="shared" si="8"/>
        <v>-5757.68</v>
      </c>
      <c r="J21" s="251">
        <f t="shared" si="9"/>
        <v>46.18990654205607</v>
      </c>
      <c r="K21" s="252">
        <v>0</v>
      </c>
      <c r="L21" s="164">
        <f t="shared" si="2"/>
        <v>4942.32</v>
      </c>
      <c r="M21" s="253"/>
      <c r="N21" s="193">
        <f>E21-серпень!E21</f>
        <v>950</v>
      </c>
      <c r="O21" s="177">
        <f>F21-серпень!F21</f>
        <v>0</v>
      </c>
      <c r="P21" s="164">
        <f t="shared" si="7"/>
        <v>-950</v>
      </c>
      <c r="Q21" s="251">
        <f t="shared" si="10"/>
        <v>0</v>
      </c>
      <c r="R21" s="103">
        <v>900</v>
      </c>
      <c r="S21" s="103" t="e">
        <f>#N/A</f>
        <v>#N/A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30800</v>
      </c>
      <c r="F22" s="199">
        <v>18110.05</v>
      </c>
      <c r="G22" s="250">
        <f t="shared" si="5"/>
        <v>-12689.95</v>
      </c>
      <c r="H22" s="193">
        <f t="shared" si="11"/>
        <v>58.79886363636363</v>
      </c>
      <c r="I22" s="251">
        <f t="shared" si="8"/>
        <v>-24689.95</v>
      </c>
      <c r="J22" s="251">
        <f t="shared" si="9"/>
        <v>42.313200934579434</v>
      </c>
      <c r="K22" s="252">
        <v>0</v>
      </c>
      <c r="L22" s="164">
        <f t="shared" si="2"/>
        <v>18110.05</v>
      </c>
      <c r="M22" s="253"/>
      <c r="N22" s="193">
        <f>E22-серпень!E22</f>
        <v>4000</v>
      </c>
      <c r="O22" s="177">
        <f>F22-серпень!F22</f>
        <v>0</v>
      </c>
      <c r="P22" s="164">
        <f t="shared" si="7"/>
        <v>-4000</v>
      </c>
      <c r="Q22" s="251">
        <f t="shared" si="10"/>
        <v>0</v>
      </c>
      <c r="R22" s="103">
        <v>3800</v>
      </c>
      <c r="S22" s="103" t="e">
        <f>#N/A</f>
        <v>#N/A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304150.6</v>
      </c>
      <c r="F23" s="221">
        <f>F24+F32+F33+F34+F35</f>
        <v>288568.38</v>
      </c>
      <c r="G23" s="148">
        <f t="shared" si="5"/>
        <v>-15582.219999999972</v>
      </c>
      <c r="H23" s="155">
        <f t="shared" si="11"/>
        <v>94.8768077393239</v>
      </c>
      <c r="I23" s="156">
        <f t="shared" si="8"/>
        <v>-112561.71999999997</v>
      </c>
      <c r="J23" s="156">
        <f t="shared" si="9"/>
        <v>71.93884976470228</v>
      </c>
      <c r="K23" s="156">
        <v>247866.66</v>
      </c>
      <c r="L23" s="159">
        <f t="shared" si="2"/>
        <v>40701.72</v>
      </c>
      <c r="M23" s="207">
        <f aca="true" t="shared" si="12" ref="M23:M31">F23/K23</f>
        <v>1.1642081270631557</v>
      </c>
      <c r="N23" s="155">
        <f>E23-серпень!E23</f>
        <v>23120.399999999965</v>
      </c>
      <c r="O23" s="158">
        <f>F23-серпень!F23</f>
        <v>467.46999999997206</v>
      </c>
      <c r="P23" s="159">
        <f t="shared" si="7"/>
        <v>-22652.929999999993</v>
      </c>
      <c r="Q23" s="156">
        <f t="shared" si="10"/>
        <v>2.021894084877306</v>
      </c>
      <c r="R23" s="285">
        <f>R24+R33+R35</f>
        <v>22714</v>
      </c>
      <c r="S23" s="291" t="e">
        <f>#N/A</f>
        <v>#N/A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154158.9</v>
      </c>
      <c r="F24" s="221">
        <f>F25+F28+F29</f>
        <v>137307.44</v>
      </c>
      <c r="G24" s="148">
        <f t="shared" si="5"/>
        <v>-16851.459999999992</v>
      </c>
      <c r="H24" s="155">
        <f t="shared" si="11"/>
        <v>89.06877254573041</v>
      </c>
      <c r="I24" s="156">
        <f t="shared" si="8"/>
        <v>-69313.56</v>
      </c>
      <c r="J24" s="156">
        <f t="shared" si="9"/>
        <v>66.45376801002803</v>
      </c>
      <c r="K24" s="156">
        <v>135815.8</v>
      </c>
      <c r="L24" s="159">
        <f t="shared" si="2"/>
        <v>1491.640000000014</v>
      </c>
      <c r="M24" s="207">
        <f t="shared" si="12"/>
        <v>1.010982816432256</v>
      </c>
      <c r="N24" s="155">
        <f>E24-серпень!E24</f>
        <v>16613</v>
      </c>
      <c r="O24" s="158">
        <f>F24-серпень!F24</f>
        <v>151.77999999999884</v>
      </c>
      <c r="P24" s="159">
        <f t="shared" si="7"/>
        <v>-16461.22</v>
      </c>
      <c r="Q24" s="156">
        <f t="shared" si="10"/>
        <v>0.913621862396911</v>
      </c>
      <c r="R24" s="290">
        <f>R25+R28+R29</f>
        <v>15007</v>
      </c>
      <c r="S24" s="290" t="e">
        <f>#N/A</f>
        <v>#N/A</v>
      </c>
    </row>
    <row r="25" spans="1:19" s="6" customFormat="1" ht="18">
      <c r="A25" s="8"/>
      <c r="B25" s="49" t="s">
        <v>74</v>
      </c>
      <c r="C25" s="122"/>
      <c r="D25" s="250">
        <v>22809</v>
      </c>
      <c r="E25" s="300">
        <v>17259.1</v>
      </c>
      <c r="F25" s="199">
        <v>16924.54</v>
      </c>
      <c r="G25" s="250">
        <f t="shared" si="5"/>
        <v>-334.5599999999977</v>
      </c>
      <c r="H25" s="193">
        <f t="shared" si="11"/>
        <v>98.0615443447225</v>
      </c>
      <c r="I25" s="251">
        <f t="shared" si="8"/>
        <v>-5884.459999999999</v>
      </c>
      <c r="J25" s="251">
        <f t="shared" si="9"/>
        <v>74.20114866938489</v>
      </c>
      <c r="K25" s="301">
        <v>15758.82</v>
      </c>
      <c r="L25" s="164">
        <f t="shared" si="2"/>
        <v>1165.7200000000012</v>
      </c>
      <c r="M25" s="213">
        <f t="shared" si="12"/>
        <v>1.0739725436295358</v>
      </c>
      <c r="N25" s="193">
        <f>E25-серпень!E25</f>
        <v>904.9999999999982</v>
      </c>
      <c r="O25" s="177">
        <f>F25-серпень!F25</f>
        <v>24.389999999999418</v>
      </c>
      <c r="P25" s="164">
        <f t="shared" si="7"/>
        <v>-880.6099999999988</v>
      </c>
      <c r="Q25" s="251">
        <f aca="true" t="shared" si="13" ref="Q25:Q35">O25/N25*100</f>
        <v>2.695027624309333</v>
      </c>
      <c r="R25" s="103">
        <v>800</v>
      </c>
      <c r="S25" s="103" t="e">
        <f>#N/A</f>
        <v>#N/A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295">
        <v>1370</v>
      </c>
      <c r="F26" s="197">
        <v>831.71</v>
      </c>
      <c r="G26" s="221">
        <f t="shared" si="5"/>
        <v>-538.29</v>
      </c>
      <c r="H26" s="234">
        <f t="shared" si="11"/>
        <v>60.7087591240876</v>
      </c>
      <c r="I26" s="296">
        <f t="shared" si="8"/>
        <v>-990.5899999999999</v>
      </c>
      <c r="J26" s="296">
        <f t="shared" si="9"/>
        <v>45.64067387367612</v>
      </c>
      <c r="K26" s="198">
        <v>668.85</v>
      </c>
      <c r="L26" s="198">
        <f>K26-F26</f>
        <v>-162.86</v>
      </c>
      <c r="M26" s="226">
        <f t="shared" si="12"/>
        <v>1.2434925618599089</v>
      </c>
      <c r="N26" s="234">
        <f>E26-серпень!E26</f>
        <v>105</v>
      </c>
      <c r="O26" s="234">
        <f>F26-серпень!F26</f>
        <v>8.759999999999991</v>
      </c>
      <c r="P26" s="296">
        <f t="shared" si="7"/>
        <v>-96.24000000000001</v>
      </c>
      <c r="Q26" s="296">
        <f t="shared" si="13"/>
        <v>8.342857142857135</v>
      </c>
      <c r="R26" s="103"/>
      <c r="S26" s="103" t="e">
        <f>#N/A</f>
        <v>#N/A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295">
        <v>15889.1</v>
      </c>
      <c r="F27" s="197">
        <v>16092.84</v>
      </c>
      <c r="G27" s="221">
        <f t="shared" si="5"/>
        <v>203.73999999999978</v>
      </c>
      <c r="H27" s="234">
        <f t="shared" si="11"/>
        <v>101.2822626832231</v>
      </c>
      <c r="I27" s="296">
        <f t="shared" si="8"/>
        <v>-4893.860000000001</v>
      </c>
      <c r="J27" s="296">
        <f t="shared" si="9"/>
        <v>76.68113614813191</v>
      </c>
      <c r="K27" s="198">
        <v>15089.97</v>
      </c>
      <c r="L27" s="198">
        <f>K27-F27</f>
        <v>-1002.8700000000008</v>
      </c>
      <c r="M27" s="226">
        <f t="shared" si="12"/>
        <v>1.0664593766588006</v>
      </c>
      <c r="N27" s="234">
        <f>E27-серпень!E27</f>
        <v>800</v>
      </c>
      <c r="O27" s="234">
        <f>F27-серпень!F27</f>
        <v>15.630000000001019</v>
      </c>
      <c r="P27" s="296">
        <f t="shared" si="7"/>
        <v>-784.369999999999</v>
      </c>
      <c r="Q27" s="296">
        <f t="shared" si="13"/>
        <v>1.9537500000001273</v>
      </c>
      <c r="R27" s="103"/>
      <c r="S27" s="103" t="e">
        <f>#N/A</f>
        <v>#N/A</v>
      </c>
    </row>
    <row r="28" spans="1:19" s="6" customFormat="1" ht="18">
      <c r="A28" s="8"/>
      <c r="B28" s="49" t="s">
        <v>75</v>
      </c>
      <c r="C28" s="122"/>
      <c r="D28" s="169">
        <v>820</v>
      </c>
      <c r="E28" s="294">
        <v>466.8</v>
      </c>
      <c r="F28" s="170">
        <v>-5.5</v>
      </c>
      <c r="G28" s="250">
        <f t="shared" si="5"/>
        <v>-472.3</v>
      </c>
      <c r="H28" s="193">
        <f t="shared" si="11"/>
        <v>-1.1782347900599828</v>
      </c>
      <c r="I28" s="251">
        <f t="shared" si="8"/>
        <v>-825.5</v>
      </c>
      <c r="J28" s="251">
        <f t="shared" si="9"/>
        <v>-0.6707317073170732</v>
      </c>
      <c r="K28" s="172">
        <v>777.34</v>
      </c>
      <c r="L28" s="172">
        <f aca="true" t="shared" si="14" ref="L28:L42">F28-K28</f>
        <v>-782.84</v>
      </c>
      <c r="M28" s="210">
        <f t="shared" si="12"/>
        <v>-0.007075411017058173</v>
      </c>
      <c r="N28" s="193">
        <f>E28-серпень!E28</f>
        <v>105</v>
      </c>
      <c r="O28" s="177">
        <f>F28-серпень!F28</f>
        <v>0</v>
      </c>
      <c r="P28" s="164">
        <f t="shared" si="7"/>
        <v>-105</v>
      </c>
      <c r="Q28" s="251">
        <f t="shared" si="13"/>
        <v>0</v>
      </c>
      <c r="R28" s="103">
        <v>-25</v>
      </c>
      <c r="S28" s="103" t="e">
        <f>#N/A</f>
        <v>#N/A</v>
      </c>
    </row>
    <row r="29" spans="1:19" s="6" customFormat="1" ht="18">
      <c r="A29" s="8"/>
      <c r="B29" s="49" t="s">
        <v>76</v>
      </c>
      <c r="C29" s="122"/>
      <c r="D29" s="169">
        <v>182992</v>
      </c>
      <c r="E29" s="294">
        <v>136433</v>
      </c>
      <c r="F29" s="170">
        <v>120388.4</v>
      </c>
      <c r="G29" s="148">
        <f t="shared" si="5"/>
        <v>-16044.600000000006</v>
      </c>
      <c r="H29" s="193">
        <f t="shared" si="11"/>
        <v>88.23994194952833</v>
      </c>
      <c r="I29" s="251">
        <f t="shared" si="8"/>
        <v>-62603.600000000006</v>
      </c>
      <c r="J29" s="251">
        <f t="shared" si="9"/>
        <v>65.78888694587741</v>
      </c>
      <c r="K29" s="173">
        <v>119279.65</v>
      </c>
      <c r="L29" s="173">
        <f t="shared" si="14"/>
        <v>1108.75</v>
      </c>
      <c r="M29" s="209">
        <f t="shared" si="12"/>
        <v>1.0092953827413143</v>
      </c>
      <c r="N29" s="193">
        <f>E29-серпень!E29</f>
        <v>15603</v>
      </c>
      <c r="O29" s="177">
        <f>F29-серпень!F29</f>
        <v>127.38999999999942</v>
      </c>
      <c r="P29" s="164">
        <f t="shared" si="7"/>
        <v>-15475.61</v>
      </c>
      <c r="Q29" s="251">
        <f t="shared" si="13"/>
        <v>0.8164455553419177</v>
      </c>
      <c r="R29" s="103">
        <v>14232</v>
      </c>
      <c r="S29" s="103" t="e">
        <f>#N/A</f>
        <v>#N/A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43133</v>
      </c>
      <c r="F30" s="197">
        <v>40766.94</v>
      </c>
      <c r="G30" s="221">
        <f t="shared" si="5"/>
        <v>-2366.0599999999977</v>
      </c>
      <c r="H30" s="234">
        <f t="shared" si="11"/>
        <v>94.5145016576635</v>
      </c>
      <c r="I30" s="296">
        <f t="shared" si="8"/>
        <v>-16766.059999999998</v>
      </c>
      <c r="J30" s="296">
        <f t="shared" si="9"/>
        <v>70.85835955017122</v>
      </c>
      <c r="K30" s="198">
        <v>37996.12</v>
      </c>
      <c r="L30" s="198">
        <f t="shared" si="14"/>
        <v>2770.8199999999997</v>
      </c>
      <c r="M30" s="226">
        <f t="shared" si="12"/>
        <v>1.0729237616893514</v>
      </c>
      <c r="N30" s="234">
        <f>E30-серпень!E30</f>
        <v>4918</v>
      </c>
      <c r="O30" s="234">
        <f>F30-серпень!F30</f>
        <v>53.17000000000553</v>
      </c>
      <c r="P30" s="296">
        <f t="shared" si="7"/>
        <v>-4864.8299999999945</v>
      </c>
      <c r="Q30" s="296">
        <f t="shared" si="13"/>
        <v>1.0811305408703848</v>
      </c>
      <c r="R30" s="106"/>
      <c r="S30" s="99" t="e">
        <f>#N/A</f>
        <v>#N/A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93300</v>
      </c>
      <c r="F31" s="197">
        <v>79621.47</v>
      </c>
      <c r="G31" s="221">
        <f t="shared" si="5"/>
        <v>-13678.529999999999</v>
      </c>
      <c r="H31" s="234">
        <f t="shared" si="11"/>
        <v>85.3391961414791</v>
      </c>
      <c r="I31" s="296">
        <f t="shared" si="8"/>
        <v>-45837.53</v>
      </c>
      <c r="J31" s="296">
        <f t="shared" si="9"/>
        <v>63.464135693732615</v>
      </c>
      <c r="K31" s="198">
        <v>81283.52</v>
      </c>
      <c r="L31" s="198">
        <f t="shared" si="14"/>
        <v>-1662.050000000003</v>
      </c>
      <c r="M31" s="226">
        <f t="shared" si="12"/>
        <v>0.9795524357212876</v>
      </c>
      <c r="N31" s="234">
        <f>E31-серпень!E31</f>
        <v>10685</v>
      </c>
      <c r="O31" s="234">
        <f>F31-серпень!F31</f>
        <v>74.22999999999593</v>
      </c>
      <c r="P31" s="296">
        <f t="shared" si="7"/>
        <v>-10610.770000000004</v>
      </c>
      <c r="Q31" s="296">
        <f t="shared" si="13"/>
        <v>0.6947122133832094</v>
      </c>
      <c r="R31" s="106"/>
      <c r="S31" s="99" t="e">
        <f>#N/A</f>
        <v>#N/A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5"/>
        <v>0.2</v>
      </c>
      <c r="H32" s="155"/>
      <c r="I32" s="156">
        <f t="shared" si="8"/>
        <v>0.2</v>
      </c>
      <c r="J32" s="156"/>
      <c r="K32" s="165">
        <v>0.15</v>
      </c>
      <c r="L32" s="156">
        <f t="shared" si="14"/>
        <v>0.05000000000000002</v>
      </c>
      <c r="M32" s="208"/>
      <c r="N32" s="155">
        <f>E32-серпень!E32</f>
        <v>0</v>
      </c>
      <c r="O32" s="158">
        <f>F32-серпень!F32</f>
        <v>0</v>
      </c>
      <c r="P32" s="159">
        <f t="shared" si="7"/>
        <v>0</v>
      </c>
      <c r="Q32" s="156"/>
      <c r="R32" s="290"/>
      <c r="S32" s="290" t="e">
        <f>#N/A</f>
        <v>#N/A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79</v>
      </c>
      <c r="F33" s="154">
        <v>114.06</v>
      </c>
      <c r="G33" s="148">
        <f t="shared" si="5"/>
        <v>35.06</v>
      </c>
      <c r="H33" s="155">
        <f t="shared" si="11"/>
        <v>144.37974683544303</v>
      </c>
      <c r="I33" s="156">
        <f t="shared" si="8"/>
        <v>-0.9399999999999977</v>
      </c>
      <c r="J33" s="156">
        <f t="shared" si="9"/>
        <v>99.18260869565218</v>
      </c>
      <c r="K33" s="156">
        <v>87.95</v>
      </c>
      <c r="L33" s="156">
        <f t="shared" si="14"/>
        <v>26.11</v>
      </c>
      <c r="M33" s="208">
        <f aca="true" t="shared" si="15" ref="M33:M39">F33/K33</f>
        <v>1.296873223422399</v>
      </c>
      <c r="N33" s="155">
        <f>E33-серпень!E33</f>
        <v>7.400000000000006</v>
      </c>
      <c r="O33" s="158">
        <f>F33-серпень!F33</f>
        <v>0</v>
      </c>
      <c r="P33" s="159">
        <f t="shared" si="7"/>
        <v>-7.400000000000006</v>
      </c>
      <c r="Q33" s="156">
        <f t="shared" si="13"/>
        <v>0</v>
      </c>
      <c r="R33" s="290">
        <v>7</v>
      </c>
      <c r="S33" s="290" t="e">
        <f>#N/A</f>
        <v>#N/A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-38.21</v>
      </c>
      <c r="G34" s="148">
        <f t="shared" si="5"/>
        <v>-38.21</v>
      </c>
      <c r="H34" s="155"/>
      <c r="I34" s="156">
        <f t="shared" si="8"/>
        <v>-38.21</v>
      </c>
      <c r="J34" s="156"/>
      <c r="K34" s="156">
        <v>-160.1</v>
      </c>
      <c r="L34" s="156">
        <f t="shared" si="14"/>
        <v>121.88999999999999</v>
      </c>
      <c r="M34" s="208">
        <f t="shared" si="15"/>
        <v>0.2386633354153654</v>
      </c>
      <c r="N34" s="155">
        <f>E34-серпень!E34</f>
        <v>0</v>
      </c>
      <c r="O34" s="158">
        <f>F34-серпень!F34</f>
        <v>0</v>
      </c>
      <c r="P34" s="159">
        <f t="shared" si="7"/>
        <v>0</v>
      </c>
      <c r="Q34" s="156"/>
      <c r="R34" s="290"/>
      <c r="S34" s="290" t="e">
        <f>#N/A</f>
        <v>#N/A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149912.7</v>
      </c>
      <c r="F35" s="161">
        <v>151184.89</v>
      </c>
      <c r="G35" s="148">
        <f t="shared" si="5"/>
        <v>1272.1900000000023</v>
      </c>
      <c r="H35" s="155">
        <f t="shared" si="11"/>
        <v>100.84862056383481</v>
      </c>
      <c r="I35" s="156">
        <f t="shared" si="8"/>
        <v>-43209.20999999999</v>
      </c>
      <c r="J35" s="156">
        <f t="shared" si="9"/>
        <v>77.7723655193239</v>
      </c>
      <c r="K35" s="176">
        <v>112122.86</v>
      </c>
      <c r="L35" s="176">
        <f t="shared" si="14"/>
        <v>39062.03000000001</v>
      </c>
      <c r="M35" s="224">
        <f t="shared" si="15"/>
        <v>1.3483859580463788</v>
      </c>
      <c r="N35" s="155">
        <f>E35-серпень!E35</f>
        <v>6500</v>
      </c>
      <c r="O35" s="158">
        <f>F35-серпень!F35</f>
        <v>315.6900000000023</v>
      </c>
      <c r="P35" s="159">
        <f t="shared" si="7"/>
        <v>-6184.309999999998</v>
      </c>
      <c r="Q35" s="156">
        <f t="shared" si="13"/>
        <v>4.856769230769267</v>
      </c>
      <c r="R35" s="290">
        <v>7700</v>
      </c>
      <c r="S35" s="290" t="e">
        <f>#N/A</f>
        <v>#N/A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>F36-E36</f>
        <v>0.01</v>
      </c>
      <c r="H36" s="104"/>
      <c r="I36" s="103">
        <f t="shared" si="8"/>
        <v>0.01</v>
      </c>
      <c r="J36" s="103"/>
      <c r="K36" s="126">
        <v>0.23</v>
      </c>
      <c r="L36" s="126">
        <f t="shared" si="14"/>
        <v>-0.22</v>
      </c>
      <c r="M36" s="214">
        <f t="shared" si="15"/>
        <v>0.043478260869565216</v>
      </c>
      <c r="N36" s="104">
        <f>E36-серпень!E36</f>
        <v>0</v>
      </c>
      <c r="O36" s="142">
        <f>F36-серпень!F36</f>
        <v>0</v>
      </c>
      <c r="P36" s="105">
        <f t="shared" si="7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30520</v>
      </c>
      <c r="F37" s="138">
        <v>30191.57</v>
      </c>
      <c r="G37" s="102">
        <f>F37-E37</f>
        <v>-328.4300000000003</v>
      </c>
      <c r="H37" s="104">
        <f t="shared" si="11"/>
        <v>98.92388597640891</v>
      </c>
      <c r="I37" s="103">
        <f t="shared" si="8"/>
        <v>-10808.43</v>
      </c>
      <c r="J37" s="103">
        <f t="shared" si="9"/>
        <v>73.6379756097561</v>
      </c>
      <c r="K37" s="126">
        <v>28340.41</v>
      </c>
      <c r="L37" s="126">
        <f t="shared" si="14"/>
        <v>1851.1599999999999</v>
      </c>
      <c r="M37" s="214">
        <f t="shared" si="15"/>
        <v>1.065318744506519</v>
      </c>
      <c r="N37" s="104">
        <f>E37-серпень!E37</f>
        <v>1000</v>
      </c>
      <c r="O37" s="142">
        <f>F37-серпень!F37</f>
        <v>28.150000000001455</v>
      </c>
      <c r="P37" s="105">
        <f t="shared" si="7"/>
        <v>-971.8499999999985</v>
      </c>
      <c r="Q37" s="103">
        <f>O37/N37*100</f>
        <v>2.8150000000001456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119360</v>
      </c>
      <c r="F38" s="138">
        <v>120963.23</v>
      </c>
      <c r="G38" s="102">
        <f>F38-E38</f>
        <v>1603.229999999996</v>
      </c>
      <c r="H38" s="104">
        <f t="shared" si="11"/>
        <v>101.34318867292225</v>
      </c>
      <c r="I38" s="103">
        <f t="shared" si="8"/>
        <v>-32375.87000000001</v>
      </c>
      <c r="J38" s="103">
        <f t="shared" si="9"/>
        <v>78.88609624029357</v>
      </c>
      <c r="K38" s="126">
        <v>83755.8</v>
      </c>
      <c r="L38" s="126">
        <f t="shared" si="14"/>
        <v>37207.42999999999</v>
      </c>
      <c r="M38" s="214">
        <f t="shared" si="15"/>
        <v>1.4442370558218056</v>
      </c>
      <c r="N38" s="104">
        <f>E38-серпень!E38</f>
        <v>5500</v>
      </c>
      <c r="O38" s="142">
        <f>F38-серпень!F38</f>
        <v>287.5399999999936</v>
      </c>
      <c r="P38" s="105">
        <f t="shared" si="7"/>
        <v>-5212.460000000006</v>
      </c>
      <c r="Q38" s="103">
        <f>O38/N38*100</f>
        <v>5.227999999999883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32.7</v>
      </c>
      <c r="F39" s="138">
        <v>30.07</v>
      </c>
      <c r="G39" s="102">
        <f>F39-E39</f>
        <v>-2.6300000000000026</v>
      </c>
      <c r="H39" s="104">
        <f t="shared" si="11"/>
        <v>91.95718654434249</v>
      </c>
      <c r="I39" s="103">
        <f t="shared" si="8"/>
        <v>-24.93</v>
      </c>
      <c r="J39" s="103">
        <f t="shared" si="9"/>
        <v>54.67272727272727</v>
      </c>
      <c r="K39" s="126">
        <v>26.42</v>
      </c>
      <c r="L39" s="126">
        <f t="shared" si="14"/>
        <v>3.6499999999999986</v>
      </c>
      <c r="M39" s="214">
        <f t="shared" si="15"/>
        <v>1.1381529144587432</v>
      </c>
      <c r="N39" s="104">
        <f>E39-серпень!E39</f>
        <v>0</v>
      </c>
      <c r="O39" s="142">
        <f>F39-серпень!F39</f>
        <v>0</v>
      </c>
      <c r="P39" s="105">
        <f t="shared" si="7"/>
        <v>0</v>
      </c>
      <c r="Q39" s="103"/>
      <c r="R39" s="106"/>
      <c r="S39" s="106"/>
    </row>
    <row r="40" spans="1:19" s="6" customFormat="1" ht="15" customHeight="1" hidden="1">
      <c r="A40" s="8"/>
      <c r="B40" s="229"/>
      <c r="C40" s="42"/>
      <c r="D40" s="33">
        <v>0</v>
      </c>
      <c r="E40" s="33">
        <v>0</v>
      </c>
      <c r="F40" s="287">
        <v>0</v>
      </c>
      <c r="G40" s="33">
        <f>F40-E40</f>
        <v>0</v>
      </c>
      <c r="H40" s="155"/>
      <c r="I40" s="118">
        <f t="shared" si="8"/>
        <v>0</v>
      </c>
      <c r="J40" s="36"/>
      <c r="K40" s="118">
        <v>0</v>
      </c>
      <c r="L40" s="118">
        <f t="shared" si="14"/>
        <v>0</v>
      </c>
      <c r="M40" s="215"/>
      <c r="N40" s="135">
        <f>E40-серпень!E40</f>
        <v>0</v>
      </c>
      <c r="O40" s="143">
        <f>F40-серпень!F40</f>
        <v>0</v>
      </c>
      <c r="P40" s="159">
        <f t="shared" si="7"/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D42+D43+D44+D45+D46+D48+D50+D51+D52+D53+D54+D59+D60+D64+D47+D49</f>
        <v>59025</v>
      </c>
      <c r="E41" s="149">
        <f>E42+E43+E44+E45+E46+E48+E50+E51+E52+E53+E54+E59+E60+E64+E47+E49</f>
        <v>45548.3</v>
      </c>
      <c r="F41" s="284">
        <f>F42+F43+F44+F45+F46+F48+F50+F51+F52+F53+F54+F59+F60+F64+F47+F49</f>
        <v>49985.78999999999</v>
      </c>
      <c r="G41" s="284">
        <f>G42+G43+G44+G45+G46+G48+G50+G51+G52+G53+G54+G59+G60+G64+G47+G49</f>
        <v>4437.489999999999</v>
      </c>
      <c r="H41" s="284">
        <f>H42+H43+H44+H45+H46+H48+H50+H51+H52+H53+H54+H59+H60+H64+H47+H49</f>
        <v>4437.489999999999</v>
      </c>
      <c r="I41" s="151">
        <f>F41-D41</f>
        <v>-9039.210000000006</v>
      </c>
      <c r="J41" s="151">
        <f>F41/D41*100</f>
        <v>84.68579415501904</v>
      </c>
      <c r="K41" s="284">
        <v>49446.88</v>
      </c>
      <c r="L41" s="149">
        <f t="shared" si="14"/>
        <v>538.9099999999962</v>
      </c>
      <c r="M41" s="203">
        <f>F41/K41</f>
        <v>1.010898766514692</v>
      </c>
      <c r="N41" s="149">
        <f>N42+N43+N44+N45+N46+N48+N50+N51+N52+N53+N54+N59+N60+N64+N47+N49</f>
        <v>4970.8</v>
      </c>
      <c r="O41" s="284">
        <f>O42+O43+O44+O45+O46+O48+O50+O51+O52+O53+O54+O59+O60+O64+O47+O49</f>
        <v>2570.8899999999985</v>
      </c>
      <c r="P41" s="149">
        <f>P42+P43+P44+P45+P46+P48+P50+P51+P52+P53+P54+P59+P60+P64</f>
        <v>-2393.1100000000015</v>
      </c>
      <c r="Q41" s="149">
        <f>O41/N41*100</f>
        <v>51.71984388830768</v>
      </c>
      <c r="R41" s="15">
        <f>R42+R43+R44+R45+R46+R47+R48+R50+R51+R52+R53+R54+R59+R60+R64</f>
        <v>5598.5</v>
      </c>
      <c r="S41" s="15">
        <f>O41-R41</f>
        <v>-3027.6100000000015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f>260+220</f>
        <v>480</v>
      </c>
      <c r="F42" s="154">
        <v>3557.9</v>
      </c>
      <c r="G42" s="148">
        <f aca="true" t="shared" si="16" ref="G42:G66">F42-E42</f>
        <v>3077.9</v>
      </c>
      <c r="H42" s="162">
        <f>F42-E42</f>
        <v>3077.9</v>
      </c>
      <c r="I42" s="163">
        <f>F42-D42</f>
        <v>2977.9</v>
      </c>
      <c r="J42" s="163">
        <f>F42/D42*100</f>
        <v>613.4310344827586</v>
      </c>
      <c r="K42" s="163">
        <v>420.88</v>
      </c>
      <c r="L42" s="163">
        <f t="shared" si="14"/>
        <v>3137.02</v>
      </c>
      <c r="M42" s="216">
        <f>F42/K42</f>
        <v>8.453478426154724</v>
      </c>
      <c r="N42" s="155">
        <f>E42-серпень!E42</f>
        <v>0</v>
      </c>
      <c r="O42" s="158">
        <f>F42-серпень!F42</f>
        <v>0</v>
      </c>
      <c r="P42" s="159">
        <f aca="true" t="shared" si="17" ref="P42:P66">O42-N42</f>
        <v>0</v>
      </c>
      <c r="Q42" s="163" t="e">
        <f>O42/N42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22100</v>
      </c>
      <c r="F43" s="154">
        <v>20495.01</v>
      </c>
      <c r="G43" s="148">
        <f t="shared" si="16"/>
        <v>-1604.9900000000016</v>
      </c>
      <c r="H43" s="162">
        <f aca="true" t="shared" si="18" ref="H43:H66">F43-E43</f>
        <v>-1604.9900000000016</v>
      </c>
      <c r="I43" s="163">
        <f aca="true" t="shared" si="19" ref="I43:I66">F43-D43</f>
        <v>-9504.990000000002</v>
      </c>
      <c r="J43" s="163">
        <f>F43/D43*100</f>
        <v>68.3167</v>
      </c>
      <c r="K43" s="163">
        <v>24166.13</v>
      </c>
      <c r="L43" s="163">
        <f aca="true" t="shared" si="20" ref="L43:L66">F43-K43</f>
        <v>-3671.1200000000026</v>
      </c>
      <c r="M43" s="216">
        <f aca="true" t="shared" si="21" ref="M43:M66">F43/K43</f>
        <v>0.8480882127175513</v>
      </c>
      <c r="N43" s="155">
        <f>E43-серпень!E43</f>
        <v>2800</v>
      </c>
      <c r="O43" s="158">
        <f>F43-серпень!F43</f>
        <v>2426.869999999999</v>
      </c>
      <c r="P43" s="159">
        <f t="shared" si="17"/>
        <v>-373.130000000001</v>
      </c>
      <c r="Q43" s="163">
        <f aca="true" t="shared" si="22" ref="Q43:Q65">O43/N43</f>
        <v>0.8667392857142854</v>
      </c>
      <c r="R43" s="36">
        <v>2874.5</v>
      </c>
      <c r="S43" s="36" t="e">
        <f>#N/A</f>
        <v>#N/A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25</v>
      </c>
      <c r="F44" s="154">
        <v>123.3</v>
      </c>
      <c r="G44" s="148">
        <f t="shared" si="16"/>
        <v>98.3</v>
      </c>
      <c r="H44" s="162">
        <f t="shared" si="18"/>
        <v>98.3</v>
      </c>
      <c r="I44" s="163">
        <f t="shared" si="19"/>
        <v>83.3</v>
      </c>
      <c r="J44" s="163">
        <f aca="true" t="shared" si="23" ref="J44:J65">F44/D44*100</f>
        <v>308.25</v>
      </c>
      <c r="K44" s="163">
        <v>31.98</v>
      </c>
      <c r="L44" s="163">
        <f t="shared" si="20"/>
        <v>91.32</v>
      </c>
      <c r="M44" s="216">
        <f t="shared" si="21"/>
        <v>3.8555347091932455</v>
      </c>
      <c r="N44" s="155">
        <f>E44-серпень!E44</f>
        <v>1</v>
      </c>
      <c r="O44" s="158">
        <f>F44-серпень!F44</f>
        <v>0</v>
      </c>
      <c r="P44" s="159">
        <f t="shared" si="17"/>
        <v>-1</v>
      </c>
      <c r="Q44" s="163">
        <f t="shared" si="22"/>
        <v>0</v>
      </c>
      <c r="R44" s="36">
        <v>10</v>
      </c>
      <c r="S44" s="36" t="e">
        <f>#N/A</f>
        <v>#N/A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12.95</v>
      </c>
      <c r="G45" s="148">
        <f t="shared" si="16"/>
        <v>12.95</v>
      </c>
      <c r="H45" s="162">
        <f t="shared" si="18"/>
        <v>12.95</v>
      </c>
      <c r="I45" s="163">
        <f t="shared" si="19"/>
        <v>12.95</v>
      </c>
      <c r="J45" s="163"/>
      <c r="K45" s="163">
        <v>0.1</v>
      </c>
      <c r="L45" s="163">
        <f t="shared" si="20"/>
        <v>12.85</v>
      </c>
      <c r="M45" s="216"/>
      <c r="N45" s="155">
        <f>E45-серпень!E45</f>
        <v>0</v>
      </c>
      <c r="O45" s="158">
        <f>F45-серпень!F45</f>
        <v>0</v>
      </c>
      <c r="P45" s="159">
        <f t="shared" si="17"/>
        <v>0</v>
      </c>
      <c r="Q45" s="163"/>
      <c r="R45" s="36">
        <v>0</v>
      </c>
      <c r="S45" s="36" t="e">
        <f>#N/A</f>
        <v>#N/A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194</v>
      </c>
      <c r="F46" s="154">
        <v>600</v>
      </c>
      <c r="G46" s="148">
        <f t="shared" si="16"/>
        <v>406</v>
      </c>
      <c r="H46" s="162">
        <f t="shared" si="18"/>
        <v>406</v>
      </c>
      <c r="I46" s="163">
        <f t="shared" si="19"/>
        <v>340</v>
      </c>
      <c r="J46" s="163">
        <f t="shared" si="23"/>
        <v>230.76923076923075</v>
      </c>
      <c r="K46" s="163">
        <v>197.12</v>
      </c>
      <c r="L46" s="163">
        <f t="shared" si="20"/>
        <v>402.88</v>
      </c>
      <c r="M46" s="216">
        <f t="shared" si="21"/>
        <v>3.0438311688311686</v>
      </c>
      <c r="N46" s="155">
        <f>E46-серпень!E46</f>
        <v>22</v>
      </c>
      <c r="O46" s="158">
        <f>F46-серпень!F46</f>
        <v>0.8500000000000227</v>
      </c>
      <c r="P46" s="159">
        <f t="shared" si="17"/>
        <v>-21.149999999999977</v>
      </c>
      <c r="Q46" s="163">
        <f t="shared" si="22"/>
        <v>0.03863636363636467</v>
      </c>
      <c r="R46" s="36">
        <v>70</v>
      </c>
      <c r="S46" s="36" t="e">
        <f>#N/A</f>
        <v>#N/A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74.8</v>
      </c>
      <c r="F47" s="154">
        <v>71.63</v>
      </c>
      <c r="G47" s="148">
        <f t="shared" si="16"/>
        <v>-3.1700000000000017</v>
      </c>
      <c r="H47" s="162">
        <f t="shared" si="18"/>
        <v>-3.1700000000000017</v>
      </c>
      <c r="I47" s="163">
        <f t="shared" si="19"/>
        <v>-25.870000000000005</v>
      </c>
      <c r="J47" s="163">
        <f t="shared" si="23"/>
        <v>73.46666666666665</v>
      </c>
      <c r="K47" s="163">
        <v>41.15</v>
      </c>
      <c r="L47" s="163">
        <f t="shared" si="20"/>
        <v>30.479999999999997</v>
      </c>
      <c r="M47" s="216">
        <f t="shared" si="21"/>
        <v>1.7407047387606318</v>
      </c>
      <c r="N47" s="155">
        <f>E47-серпень!E47</f>
        <v>6.799999999999997</v>
      </c>
      <c r="O47" s="158">
        <f>F47-серпень!F47</f>
        <v>0</v>
      </c>
      <c r="P47" s="159">
        <f t="shared" si="17"/>
        <v>-6.799999999999997</v>
      </c>
      <c r="Q47" s="163">
        <f t="shared" si="22"/>
        <v>0</v>
      </c>
      <c r="R47" s="36">
        <v>0</v>
      </c>
      <c r="S47" s="36" t="e">
        <f>#N/A</f>
        <v>#N/A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640</v>
      </c>
      <c r="F48" s="154">
        <v>820.07</v>
      </c>
      <c r="G48" s="148">
        <f t="shared" si="16"/>
        <v>180.07000000000005</v>
      </c>
      <c r="H48" s="162">
        <f t="shared" si="18"/>
        <v>180.07000000000005</v>
      </c>
      <c r="I48" s="163">
        <f t="shared" si="19"/>
        <v>90.07000000000005</v>
      </c>
      <c r="J48" s="163">
        <f t="shared" si="23"/>
        <v>112.33835616438357</v>
      </c>
      <c r="K48" s="163">
        <v>428.63</v>
      </c>
      <c r="L48" s="163">
        <f t="shared" si="20"/>
        <v>391.44000000000005</v>
      </c>
      <c r="M48" s="216">
        <f t="shared" si="21"/>
        <v>1.9132351911905374</v>
      </c>
      <c r="N48" s="155">
        <f>E48-серпень!E48</f>
        <v>60</v>
      </c>
      <c r="O48" s="158">
        <f>F48-серпень!F48</f>
        <v>7.2000000000000455</v>
      </c>
      <c r="P48" s="159">
        <f t="shared" si="17"/>
        <v>-52.799999999999955</v>
      </c>
      <c r="Q48" s="163">
        <f t="shared" si="22"/>
        <v>0.12000000000000076</v>
      </c>
      <c r="R48" s="36">
        <v>100</v>
      </c>
      <c r="S48" s="36" t="e">
        <f>#N/A</f>
        <v>#N/A</v>
      </c>
    </row>
    <row r="49" spans="1:19" s="6" customFormat="1" ht="18">
      <c r="A49" s="8"/>
      <c r="B49" s="129" t="s">
        <v>210</v>
      </c>
      <c r="C49" s="48">
        <v>22010200</v>
      </c>
      <c r="D49" s="148">
        <v>0</v>
      </c>
      <c r="E49" s="148">
        <v>0</v>
      </c>
      <c r="F49" s="154">
        <v>23.38</v>
      </c>
      <c r="G49" s="148">
        <f t="shared" si="16"/>
        <v>23.38</v>
      </c>
      <c r="H49" s="162">
        <f t="shared" si="18"/>
        <v>23.38</v>
      </c>
      <c r="I49" s="163">
        <f t="shared" si="19"/>
        <v>23.38</v>
      </c>
      <c r="J49" s="163"/>
      <c r="K49" s="163"/>
      <c r="L49" s="163">
        <f t="shared" si="20"/>
        <v>23.38</v>
      </c>
      <c r="M49" s="216"/>
      <c r="N49" s="155">
        <f>E49-серпень!E49</f>
        <v>0</v>
      </c>
      <c r="O49" s="158">
        <f>F49-серпень!F49</f>
        <v>0</v>
      </c>
      <c r="P49" s="159">
        <f t="shared" si="17"/>
        <v>0</v>
      </c>
      <c r="Q49" s="163"/>
      <c r="R49" s="36"/>
      <c r="S49" s="36" t="e">
        <f>#N/A</f>
        <v>#N/A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8940</v>
      </c>
      <c r="F50" s="154">
        <v>13021.88</v>
      </c>
      <c r="G50" s="148">
        <f t="shared" si="16"/>
        <v>4081.879999999999</v>
      </c>
      <c r="H50" s="162">
        <f t="shared" si="18"/>
        <v>4081.879999999999</v>
      </c>
      <c r="I50" s="163">
        <f t="shared" si="19"/>
        <v>2021.8799999999992</v>
      </c>
      <c r="J50" s="163">
        <f t="shared" si="23"/>
        <v>118.38072727272726</v>
      </c>
      <c r="K50" s="163">
        <v>8067.74</v>
      </c>
      <c r="L50" s="163">
        <f t="shared" si="20"/>
        <v>4954.139999999999</v>
      </c>
      <c r="M50" s="216">
        <f t="shared" si="21"/>
        <v>1.6140678802242014</v>
      </c>
      <c r="N50" s="155">
        <f>E50-серпень!E50</f>
        <v>1000</v>
      </c>
      <c r="O50" s="158">
        <f>F50-серпень!F50</f>
        <v>108.05999999999949</v>
      </c>
      <c r="P50" s="159">
        <f t="shared" si="17"/>
        <v>-891.9400000000005</v>
      </c>
      <c r="Q50" s="163">
        <f t="shared" si="22"/>
        <v>0.10805999999999949</v>
      </c>
      <c r="R50" s="36">
        <v>1400</v>
      </c>
      <c r="S50" s="36" t="e">
        <f>#N/A</f>
        <v>#N/A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235</v>
      </c>
      <c r="F51" s="154">
        <v>380.54</v>
      </c>
      <c r="G51" s="148">
        <f t="shared" si="16"/>
        <v>145.54000000000002</v>
      </c>
      <c r="H51" s="162">
        <f t="shared" si="18"/>
        <v>145.54000000000002</v>
      </c>
      <c r="I51" s="163">
        <f t="shared" si="19"/>
        <v>70.54000000000002</v>
      </c>
      <c r="J51" s="163">
        <f t="shared" si="23"/>
        <v>122.75483870967743</v>
      </c>
      <c r="K51" s="163">
        <v>210.12</v>
      </c>
      <c r="L51" s="163">
        <f t="shared" si="20"/>
        <v>170.42000000000002</v>
      </c>
      <c r="M51" s="216">
        <f t="shared" si="21"/>
        <v>1.8110603464686845</v>
      </c>
      <c r="N51" s="155">
        <f>E51-серпень!E51</f>
        <v>25</v>
      </c>
      <c r="O51" s="158">
        <f>F51-серпень!F51</f>
        <v>4.300000000000011</v>
      </c>
      <c r="P51" s="159">
        <f t="shared" si="17"/>
        <v>-20.69999999999999</v>
      </c>
      <c r="Q51" s="163">
        <f t="shared" si="22"/>
        <v>0.17200000000000046</v>
      </c>
      <c r="R51" s="36">
        <v>40</v>
      </c>
      <c r="S51" s="36" t="e">
        <f>#N/A</f>
        <v>#N/A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17</v>
      </c>
      <c r="F52" s="154">
        <v>31.68</v>
      </c>
      <c r="G52" s="148">
        <f t="shared" si="16"/>
        <v>14.68</v>
      </c>
      <c r="H52" s="162">
        <f t="shared" si="18"/>
        <v>14.68</v>
      </c>
      <c r="I52" s="163">
        <f t="shared" si="19"/>
        <v>11.68</v>
      </c>
      <c r="J52" s="163">
        <f t="shared" si="23"/>
        <v>158.4</v>
      </c>
      <c r="K52" s="163">
        <v>16.68</v>
      </c>
      <c r="L52" s="163">
        <f t="shared" si="20"/>
        <v>15</v>
      </c>
      <c r="M52" s="216">
        <f t="shared" si="21"/>
        <v>1.8992805755395683</v>
      </c>
      <c r="N52" s="155">
        <f>E52-серпень!E52</f>
        <v>1</v>
      </c>
      <c r="O52" s="158">
        <f>F52-серпень!F52</f>
        <v>0</v>
      </c>
      <c r="P52" s="159">
        <f t="shared" si="17"/>
        <v>-1</v>
      </c>
      <c r="Q52" s="163">
        <f t="shared" si="22"/>
        <v>0</v>
      </c>
      <c r="R52" s="36">
        <v>4</v>
      </c>
      <c r="S52" s="36" t="e">
        <f>#N/A</f>
        <v>#N/A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5460</v>
      </c>
      <c r="F53" s="154">
        <v>4333.34</v>
      </c>
      <c r="G53" s="148">
        <f t="shared" si="16"/>
        <v>-1126.6599999999999</v>
      </c>
      <c r="H53" s="162">
        <f t="shared" si="18"/>
        <v>-1126.6599999999999</v>
      </c>
      <c r="I53" s="163">
        <f t="shared" si="19"/>
        <v>-2941.66</v>
      </c>
      <c r="J53" s="163">
        <f t="shared" si="23"/>
        <v>59.56481099656358</v>
      </c>
      <c r="K53" s="163">
        <v>5625.22</v>
      </c>
      <c r="L53" s="163">
        <f t="shared" si="20"/>
        <v>-1291.88</v>
      </c>
      <c r="M53" s="216">
        <f t="shared" si="21"/>
        <v>0.7703414266464245</v>
      </c>
      <c r="N53" s="155">
        <f>E53-серпень!E53</f>
        <v>605</v>
      </c>
      <c r="O53" s="158">
        <f>F53-серпень!F53</f>
        <v>0</v>
      </c>
      <c r="P53" s="159">
        <f t="shared" si="17"/>
        <v>-605</v>
      </c>
      <c r="Q53" s="163">
        <f t="shared" si="22"/>
        <v>0</v>
      </c>
      <c r="R53" s="36">
        <v>550</v>
      </c>
      <c r="S53" s="36" t="e">
        <f>#N/A</f>
        <v>#N/A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890</v>
      </c>
      <c r="F54" s="154">
        <v>552.52</v>
      </c>
      <c r="G54" s="148">
        <f t="shared" si="16"/>
        <v>-337.48</v>
      </c>
      <c r="H54" s="162">
        <f t="shared" si="18"/>
        <v>-337.48</v>
      </c>
      <c r="I54" s="163">
        <f t="shared" si="19"/>
        <v>-647.48</v>
      </c>
      <c r="J54" s="163">
        <f t="shared" si="23"/>
        <v>46.04333333333333</v>
      </c>
      <c r="K54" s="163">
        <v>4925.62</v>
      </c>
      <c r="L54" s="163">
        <f t="shared" si="20"/>
        <v>-4373.1</v>
      </c>
      <c r="M54" s="216">
        <f t="shared" si="21"/>
        <v>0.11217268079957447</v>
      </c>
      <c r="N54" s="155">
        <f>E54-серпень!E54</f>
        <v>100</v>
      </c>
      <c r="O54" s="158">
        <f>F54-серпень!F54</f>
        <v>1.5299999999999727</v>
      </c>
      <c r="P54" s="159">
        <f t="shared" si="17"/>
        <v>-98.47000000000003</v>
      </c>
      <c r="Q54" s="163">
        <f t="shared" si="22"/>
        <v>0.015299999999999727</v>
      </c>
      <c r="R54" s="36">
        <v>50</v>
      </c>
      <c r="S54" s="36" t="e">
        <f>#N/A</f>
        <v>#N/A</v>
      </c>
    </row>
    <row r="55" spans="1:19" s="6" customFormat="1" ht="18" hidden="1">
      <c r="A55" s="8"/>
      <c r="B55" s="49" t="s">
        <v>97</v>
      </c>
      <c r="C55" s="122">
        <v>22090100</v>
      </c>
      <c r="D55" s="102">
        <v>998</v>
      </c>
      <c r="E55" s="102">
        <v>740</v>
      </c>
      <c r="F55" s="138">
        <v>467.9</v>
      </c>
      <c r="G55" s="102">
        <f t="shared" si="16"/>
        <v>-272.1</v>
      </c>
      <c r="H55" s="104">
        <f t="shared" si="18"/>
        <v>-272.1</v>
      </c>
      <c r="I55" s="103">
        <f t="shared" si="19"/>
        <v>-530.1</v>
      </c>
      <c r="J55" s="103">
        <f t="shared" si="23"/>
        <v>46.883767535070135</v>
      </c>
      <c r="K55" s="103">
        <v>643.11</v>
      </c>
      <c r="L55" s="163">
        <f t="shared" si="20"/>
        <v>-175.21000000000004</v>
      </c>
      <c r="M55" s="216">
        <f t="shared" si="21"/>
        <v>0.7275582715243115</v>
      </c>
      <c r="N55" s="104">
        <f>E55-серпень!E55</f>
        <v>80</v>
      </c>
      <c r="O55" s="142">
        <f>F55-серпень!F55</f>
        <v>0.9199999999999591</v>
      </c>
      <c r="P55" s="105">
        <f t="shared" si="17"/>
        <v>-79.08000000000004</v>
      </c>
      <c r="Q55" s="103">
        <f t="shared" si="22"/>
        <v>0.011499999999999488</v>
      </c>
      <c r="R55" s="36"/>
      <c r="S55" s="36" t="e">
        <f>#N/A</f>
        <v>#N/A</v>
      </c>
    </row>
    <row r="56" spans="1:19" s="6" customFormat="1" ht="18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102">
        <f t="shared" si="16"/>
        <v>0.15</v>
      </c>
      <c r="H56" s="104">
        <f t="shared" si="18"/>
        <v>0.15</v>
      </c>
      <c r="I56" s="103">
        <f t="shared" si="19"/>
        <v>-0.85</v>
      </c>
      <c r="J56" s="103">
        <f t="shared" si="23"/>
        <v>15</v>
      </c>
      <c r="K56" s="103">
        <v>0.27</v>
      </c>
      <c r="L56" s="163">
        <f t="shared" si="20"/>
        <v>-0.12000000000000002</v>
      </c>
      <c r="M56" s="216">
        <f t="shared" si="21"/>
        <v>0.5555555555555555</v>
      </c>
      <c r="N56" s="104">
        <f>E56-серпень!E56</f>
        <v>0</v>
      </c>
      <c r="O56" s="142">
        <f>F56-серпень!F56</f>
        <v>0</v>
      </c>
      <c r="P56" s="105">
        <f t="shared" si="17"/>
        <v>0</v>
      </c>
      <c r="Q56" s="103"/>
      <c r="R56" s="36"/>
      <c r="S56" s="36" t="e">
        <f>#N/A</f>
        <v>#N/A</v>
      </c>
    </row>
    <row r="57" spans="1:19" s="6" customFormat="1" ht="18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102">
        <f t="shared" si="16"/>
        <v>0</v>
      </c>
      <c r="H57" s="104">
        <f t="shared" si="18"/>
        <v>0</v>
      </c>
      <c r="I57" s="103">
        <f t="shared" si="19"/>
        <v>-1</v>
      </c>
      <c r="J57" s="103">
        <f t="shared" si="23"/>
        <v>0</v>
      </c>
      <c r="K57" s="103">
        <v>0.02</v>
      </c>
      <c r="L57" s="163">
        <f t="shared" si="20"/>
        <v>-0.02</v>
      </c>
      <c r="M57" s="216">
        <f t="shared" si="21"/>
        <v>0</v>
      </c>
      <c r="N57" s="104">
        <f>E57-серпень!E57</f>
        <v>0</v>
      </c>
      <c r="O57" s="142">
        <f>F57-серпень!F57</f>
        <v>0</v>
      </c>
      <c r="P57" s="105">
        <f t="shared" si="17"/>
        <v>0</v>
      </c>
      <c r="Q57" s="103"/>
      <c r="R57" s="36"/>
      <c r="S57" s="36" t="e">
        <f>#N/A</f>
        <v>#N/A</v>
      </c>
    </row>
    <row r="58" spans="1:19" s="6" customFormat="1" ht="18" hidden="1">
      <c r="A58" s="8"/>
      <c r="B58" s="49" t="s">
        <v>96</v>
      </c>
      <c r="C58" s="122">
        <v>22090400</v>
      </c>
      <c r="D58" s="102">
        <v>200</v>
      </c>
      <c r="E58" s="102">
        <v>150</v>
      </c>
      <c r="F58" s="138">
        <v>84.48</v>
      </c>
      <c r="G58" s="102">
        <f t="shared" si="16"/>
        <v>-65.52</v>
      </c>
      <c r="H58" s="104">
        <f t="shared" si="18"/>
        <v>-65.52</v>
      </c>
      <c r="I58" s="103">
        <f t="shared" si="19"/>
        <v>-115.52</v>
      </c>
      <c r="J58" s="103">
        <f t="shared" si="23"/>
        <v>42.24</v>
      </c>
      <c r="K58" s="103">
        <v>4282.22</v>
      </c>
      <c r="L58" s="163">
        <f t="shared" si="20"/>
        <v>-4197.740000000001</v>
      </c>
      <c r="M58" s="216">
        <f t="shared" si="21"/>
        <v>0.01972808496527502</v>
      </c>
      <c r="N58" s="104">
        <f>E58-серпень!E58</f>
        <v>20</v>
      </c>
      <c r="O58" s="142">
        <f>F58-серпень!F58</f>
        <v>0.6200000000000045</v>
      </c>
      <c r="P58" s="105">
        <f t="shared" si="17"/>
        <v>-19.379999999999995</v>
      </c>
      <c r="Q58" s="103">
        <f t="shared" si="22"/>
        <v>0.03100000000000023</v>
      </c>
      <c r="R58" s="36"/>
      <c r="S58" s="36" t="e">
        <f>#N/A</f>
        <v>#N/A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48">
        <f t="shared" si="16"/>
        <v>-0.45999999999999996</v>
      </c>
      <c r="H59" s="162">
        <f t="shared" si="18"/>
        <v>-0.45999999999999996</v>
      </c>
      <c r="I59" s="163">
        <f t="shared" si="19"/>
        <v>-0.45999999999999996</v>
      </c>
      <c r="J59" s="163">
        <f t="shared" si="23"/>
        <v>81.60000000000001</v>
      </c>
      <c r="K59" s="163">
        <v>2.46</v>
      </c>
      <c r="L59" s="163">
        <f t="shared" si="20"/>
        <v>-0.41999999999999993</v>
      </c>
      <c r="M59" s="216">
        <f t="shared" si="21"/>
        <v>0.8292682926829269</v>
      </c>
      <c r="N59" s="155">
        <f>E59-серпень!E59</f>
        <v>0</v>
      </c>
      <c r="O59" s="158">
        <f>F59-серпень!F59</f>
        <v>0</v>
      </c>
      <c r="P59" s="159">
        <f t="shared" si="17"/>
        <v>0</v>
      </c>
      <c r="Q59" s="163"/>
      <c r="R59" s="36">
        <v>0</v>
      </c>
      <c r="S59" s="36" t="e">
        <f>#N/A</f>
        <v>#N/A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6400</v>
      </c>
      <c r="F60" s="154">
        <v>5899.41</v>
      </c>
      <c r="G60" s="148">
        <f t="shared" si="16"/>
        <v>-500.59000000000015</v>
      </c>
      <c r="H60" s="162">
        <f t="shared" si="18"/>
        <v>-500.59000000000015</v>
      </c>
      <c r="I60" s="163">
        <f t="shared" si="19"/>
        <v>-1450.5900000000001</v>
      </c>
      <c r="J60" s="163">
        <f t="shared" si="23"/>
        <v>80.26408163265306</v>
      </c>
      <c r="K60" s="163">
        <v>5154.13</v>
      </c>
      <c r="L60" s="163">
        <f t="shared" si="20"/>
        <v>745.2799999999997</v>
      </c>
      <c r="M60" s="216">
        <f t="shared" si="21"/>
        <v>1.1445986034500488</v>
      </c>
      <c r="N60" s="155">
        <f>E60-серпень!E60</f>
        <v>340</v>
      </c>
      <c r="O60" s="158">
        <f>F60-серпень!F60</f>
        <v>22.079999999999927</v>
      </c>
      <c r="P60" s="159">
        <f t="shared" si="17"/>
        <v>-317.9200000000001</v>
      </c>
      <c r="Q60" s="163">
        <f t="shared" si="22"/>
        <v>0.06494117647058802</v>
      </c>
      <c r="R60" s="36">
        <v>500</v>
      </c>
      <c r="S60" s="36" t="e">
        <f>#N/A</f>
        <v>#N/A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48">
        <f t="shared" si="16"/>
        <v>0</v>
      </c>
      <c r="H61" s="162">
        <f t="shared" si="18"/>
        <v>0</v>
      </c>
      <c r="I61" s="163">
        <f t="shared" si="19"/>
        <v>0</v>
      </c>
      <c r="J61" s="163" t="e">
        <f t="shared" si="23"/>
        <v>#DIV/0!</v>
      </c>
      <c r="K61" s="163">
        <v>0</v>
      </c>
      <c r="L61" s="163">
        <f t="shared" si="20"/>
        <v>0</v>
      </c>
      <c r="M61" s="216" t="e">
        <f t="shared" si="21"/>
        <v>#DIV/0!</v>
      </c>
      <c r="N61" s="155">
        <f>E61-серпень!E61</f>
        <v>0</v>
      </c>
      <c r="O61" s="158">
        <f>F61-серпень!F61</f>
        <v>0</v>
      </c>
      <c r="P61" s="159">
        <f t="shared" si="17"/>
        <v>0</v>
      </c>
      <c r="Q61" s="163" t="e">
        <f t="shared" si="22"/>
        <v>#DIV/0!</v>
      </c>
      <c r="R61" s="36"/>
      <c r="S61" s="36" t="e">
        <f>#N/A</f>
        <v>#N/A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1390</v>
      </c>
      <c r="G62" s="148">
        <f t="shared" si="16"/>
        <v>1390</v>
      </c>
      <c r="H62" s="162">
        <f t="shared" si="18"/>
        <v>1390</v>
      </c>
      <c r="I62" s="163">
        <f t="shared" si="19"/>
        <v>1390</v>
      </c>
      <c r="J62" s="163"/>
      <c r="K62" s="164">
        <v>1002.97</v>
      </c>
      <c r="L62" s="163">
        <f t="shared" si="20"/>
        <v>387.03</v>
      </c>
      <c r="M62" s="216">
        <f t="shared" si="21"/>
        <v>1.3858839247435117</v>
      </c>
      <c r="N62" s="155">
        <f>E62-серпень!E62</f>
        <v>0</v>
      </c>
      <c r="O62" s="158">
        <f>F62-серпень!F62</f>
        <v>0</v>
      </c>
      <c r="P62" s="159">
        <f t="shared" si="17"/>
        <v>0</v>
      </c>
      <c r="Q62" s="163"/>
      <c r="R62" s="36"/>
      <c r="S62" s="36" t="e">
        <f>#N/A</f>
        <v>#N/A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48">
        <f t="shared" si="16"/>
        <v>0</v>
      </c>
      <c r="H63" s="162">
        <f t="shared" si="18"/>
        <v>0</v>
      </c>
      <c r="I63" s="163">
        <f t="shared" si="19"/>
        <v>0</v>
      </c>
      <c r="J63" s="163" t="e">
        <f t="shared" si="23"/>
        <v>#DIV/0!</v>
      </c>
      <c r="K63" s="164">
        <v>0</v>
      </c>
      <c r="L63" s="163">
        <f t="shared" si="20"/>
        <v>0</v>
      </c>
      <c r="M63" s="216" t="e">
        <f t="shared" si="21"/>
        <v>#DIV/0!</v>
      </c>
      <c r="N63" s="155">
        <f>E63-серпень!E63</f>
        <v>0</v>
      </c>
      <c r="O63" s="158">
        <f>F63-серпень!F63</f>
        <v>0</v>
      </c>
      <c r="P63" s="159">
        <f t="shared" si="17"/>
        <v>0</v>
      </c>
      <c r="Q63" s="163" t="e">
        <f t="shared" si="22"/>
        <v>#DIV/0!</v>
      </c>
      <c r="R63" s="36"/>
      <c r="S63" s="36" t="e">
        <f>#N/A</f>
        <v>#N/A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90</v>
      </c>
      <c r="F64" s="154">
        <v>60.14</v>
      </c>
      <c r="G64" s="148">
        <f t="shared" si="16"/>
        <v>-29.86</v>
      </c>
      <c r="H64" s="162">
        <f t="shared" si="18"/>
        <v>-29.86</v>
      </c>
      <c r="I64" s="163">
        <f t="shared" si="19"/>
        <v>-99.86</v>
      </c>
      <c r="J64" s="163">
        <f t="shared" si="23"/>
        <v>37.5875</v>
      </c>
      <c r="K64" s="163">
        <v>158.93</v>
      </c>
      <c r="L64" s="163">
        <f t="shared" si="20"/>
        <v>-98.79</v>
      </c>
      <c r="M64" s="216">
        <f t="shared" si="21"/>
        <v>0.37840558736550683</v>
      </c>
      <c r="N64" s="155">
        <f>E64-серпень!E64</f>
        <v>10</v>
      </c>
      <c r="O64" s="158">
        <f>F64-серпень!F64</f>
        <v>0</v>
      </c>
      <c r="P64" s="159">
        <f t="shared" si="17"/>
        <v>-10</v>
      </c>
      <c r="Q64" s="163">
        <f t="shared" si="22"/>
        <v>0</v>
      </c>
      <c r="R64" s="36">
        <v>0</v>
      </c>
      <c r="S64" s="36" t="e">
        <f>#N/A</f>
        <v>#N/A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11.3</v>
      </c>
      <c r="F65" s="154">
        <v>30.95</v>
      </c>
      <c r="G65" s="148">
        <f t="shared" si="16"/>
        <v>19.65</v>
      </c>
      <c r="H65" s="162">
        <f t="shared" si="18"/>
        <v>19.65</v>
      </c>
      <c r="I65" s="163">
        <f t="shared" si="19"/>
        <v>15.95</v>
      </c>
      <c r="J65" s="163">
        <f t="shared" si="23"/>
        <v>206.33333333333334</v>
      </c>
      <c r="K65" s="163">
        <v>13.52</v>
      </c>
      <c r="L65" s="163">
        <f t="shared" si="20"/>
        <v>17.43</v>
      </c>
      <c r="M65" s="216">
        <f t="shared" si="21"/>
        <v>2.2892011834319526</v>
      </c>
      <c r="N65" s="155">
        <f>E65-серпень!E65</f>
        <v>1.1999999999999993</v>
      </c>
      <c r="O65" s="158">
        <f>F65-серпень!F65</f>
        <v>0</v>
      </c>
      <c r="P65" s="159">
        <f t="shared" si="17"/>
        <v>-1.1999999999999993</v>
      </c>
      <c r="Q65" s="163">
        <f t="shared" si="22"/>
        <v>0</v>
      </c>
      <c r="R65" s="36">
        <v>3.2</v>
      </c>
      <c r="S65" s="36" t="e">
        <f>#N/A</f>
        <v>#N/A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-5.17</v>
      </c>
      <c r="G66" s="148">
        <f t="shared" si="16"/>
        <v>-5.17</v>
      </c>
      <c r="H66" s="162">
        <f t="shared" si="18"/>
        <v>-5.17</v>
      </c>
      <c r="I66" s="163">
        <f t="shared" si="19"/>
        <v>-5.17</v>
      </c>
      <c r="J66" s="163"/>
      <c r="K66" s="163">
        <v>1.02</v>
      </c>
      <c r="L66" s="163">
        <f t="shared" si="20"/>
        <v>-6.1899999999999995</v>
      </c>
      <c r="M66" s="216">
        <f t="shared" si="21"/>
        <v>-5.068627450980392</v>
      </c>
      <c r="N66" s="155">
        <f>E66-серпень!E66</f>
        <v>0</v>
      </c>
      <c r="O66" s="158">
        <f>F66-серпень!F66</f>
        <v>0</v>
      </c>
      <c r="P66" s="159">
        <f t="shared" si="17"/>
        <v>0</v>
      </c>
      <c r="Q66" s="163"/>
      <c r="R66" s="36">
        <v>0</v>
      </c>
      <c r="S66" s="36" t="e">
        <f>#N/A</f>
        <v>#N/A</v>
      </c>
    </row>
    <row r="67" spans="1:19" s="6" customFormat="1" ht="17.25">
      <c r="A67" s="9"/>
      <c r="B67" s="14" t="s">
        <v>171</v>
      </c>
      <c r="C67" s="61"/>
      <c r="D67" s="149">
        <f>D8+D41+D65+D66</f>
        <v>1357491.1</v>
      </c>
      <c r="E67" s="149">
        <f>E8+E41+E65+E66</f>
        <v>992191.2000000001</v>
      </c>
      <c r="F67" s="149">
        <f>F8+F41+F65+F66</f>
        <v>890552.0499999999</v>
      </c>
      <c r="G67" s="149">
        <f>F67-E67</f>
        <v>-101639.15000000014</v>
      </c>
      <c r="H67" s="150">
        <f>F67/E67*100</f>
        <v>89.7560923741311</v>
      </c>
      <c r="I67" s="151">
        <f>F67-D67</f>
        <v>-466939.05000000016</v>
      </c>
      <c r="J67" s="151">
        <f>F67/D67*100</f>
        <v>65.60279106065593</v>
      </c>
      <c r="K67" s="149">
        <v>757500.07</v>
      </c>
      <c r="L67" s="151">
        <f>F67-K67</f>
        <v>133051.97999999998</v>
      </c>
      <c r="M67" s="217">
        <f>F67/K67</f>
        <v>1.1756461619864933</v>
      </c>
      <c r="N67" s="149">
        <f>N8+N41+N65+N66</f>
        <v>105792.39999999997</v>
      </c>
      <c r="O67" s="149">
        <f>O8+O41+O65+O66</f>
        <v>5037.889999999962</v>
      </c>
      <c r="P67" s="192">
        <f>O67-N67</f>
        <v>-100754.51000000001</v>
      </c>
      <c r="Q67" s="151">
        <f>O67/N67*100</f>
        <v>4.76205285067733</v>
      </c>
      <c r="R67" s="26">
        <f>R8+R41+R65+R66</f>
        <v>108115.7</v>
      </c>
      <c r="S67" s="277">
        <f>O67-R67</f>
        <v>-103077.81000000004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-3.83</v>
      </c>
      <c r="L72" s="165">
        <f>F72-K72</f>
        <v>3.84</v>
      </c>
      <c r="M72" s="207">
        <f>F72/K72</f>
        <v>-0.0026109660574412533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-3.83</v>
      </c>
      <c r="L73" s="165">
        <f>F73-K73</f>
        <v>1.19</v>
      </c>
      <c r="M73" s="207">
        <f>F73/K73</f>
        <v>0.6892950391644909</v>
      </c>
      <c r="N73" s="160">
        <f>E73-серпень!E73</f>
        <v>0</v>
      </c>
      <c r="O73" s="158">
        <f>F73-серпень!F73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-3.8200000000000003</v>
      </c>
      <c r="L74" s="185">
        <f aca="true" t="shared" si="24" ref="L74:L86">F74-K74</f>
        <v>1.19</v>
      </c>
      <c r="M74" s="212">
        <f aca="true" t="shared" si="25" ref="M74:M89">F74/K74</f>
        <v>0.6884816753926702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.7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26" ref="G75:G86">F75-E75</f>
        <v>35.57</v>
      </c>
      <c r="H75" s="184"/>
      <c r="I75" s="185">
        <f>F75-D75</f>
        <v>35.57</v>
      </c>
      <c r="J75" s="185"/>
      <c r="K75" s="185">
        <v>0</v>
      </c>
      <c r="L75" s="185">
        <f t="shared" si="24"/>
        <v>35.57</v>
      </c>
      <c r="M75" s="207"/>
      <c r="N75" s="184">
        <f>E75-серпень!E75</f>
        <v>0</v>
      </c>
      <c r="O75" s="286">
        <f>F75-червень!F75</f>
        <v>0</v>
      </c>
      <c r="P75" s="185">
        <f aca="true" t="shared" si="27" ref="P75:P86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39500</v>
      </c>
      <c r="F76" s="179">
        <v>3.81</v>
      </c>
      <c r="G76" s="160">
        <f t="shared" si="26"/>
        <v>-39496.19</v>
      </c>
      <c r="H76" s="162">
        <f>F76/E76*100</f>
        <v>0.009645569620253164</v>
      </c>
      <c r="I76" s="165">
        <f>F76-D76</f>
        <v>-104202.22</v>
      </c>
      <c r="J76" s="165">
        <f>F76/D76*100</f>
        <v>0.0036562183589567707</v>
      </c>
      <c r="K76" s="165">
        <v>1553.95</v>
      </c>
      <c r="L76" s="165">
        <f t="shared" si="24"/>
        <v>-1550.14</v>
      </c>
      <c r="M76" s="207">
        <f t="shared" si="25"/>
        <v>0.0024518163390070467</v>
      </c>
      <c r="N76" s="155">
        <f>E76-серпень!E76</f>
        <v>21500</v>
      </c>
      <c r="O76" s="158">
        <f>F76-серпень!F76</f>
        <v>0</v>
      </c>
      <c r="P76" s="165">
        <f t="shared" si="27"/>
        <v>-21500</v>
      </c>
      <c r="Q76" s="165">
        <f>O76/N76*100</f>
        <v>0</v>
      </c>
      <c r="R76" s="37">
        <v>0</v>
      </c>
      <c r="S76" s="37" t="e">
        <f>#N/A</f>
        <v>#N/A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26430</v>
      </c>
      <c r="F77" s="179">
        <v>5970.15</v>
      </c>
      <c r="G77" s="160">
        <f t="shared" si="26"/>
        <v>-20459.85</v>
      </c>
      <c r="H77" s="162">
        <f>F77/E77*100</f>
        <v>22.58853575482406</v>
      </c>
      <c r="I77" s="165">
        <f aca="true" t="shared" si="28" ref="I77:I86">F77-D77</f>
        <v>-48029.85</v>
      </c>
      <c r="J77" s="165">
        <f>F77/D77*100</f>
        <v>11.055833333333332</v>
      </c>
      <c r="K77" s="165">
        <v>6903.45</v>
      </c>
      <c r="L77" s="165">
        <f t="shared" si="24"/>
        <v>-933.3000000000002</v>
      </c>
      <c r="M77" s="207">
        <f t="shared" si="25"/>
        <v>0.864806727071247</v>
      </c>
      <c r="N77" s="155">
        <f>E77-серпень!E77</f>
        <v>3600</v>
      </c>
      <c r="O77" s="158">
        <f>F77-серпень!F77</f>
        <v>0</v>
      </c>
      <c r="P77" s="165">
        <f t="shared" si="27"/>
        <v>-3600</v>
      </c>
      <c r="Q77" s="165">
        <f>O77/N77*100</f>
        <v>0</v>
      </c>
      <c r="R77" s="37">
        <v>200</v>
      </c>
      <c r="S77" s="37" t="e">
        <f>#N/A</f>
        <v>#N/A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27750</v>
      </c>
      <c r="F78" s="179">
        <v>8452.48</v>
      </c>
      <c r="G78" s="160">
        <f t="shared" si="26"/>
        <v>-19297.52</v>
      </c>
      <c r="H78" s="162">
        <f>F78/E78*100</f>
        <v>30.459387387387387</v>
      </c>
      <c r="I78" s="165">
        <f t="shared" si="28"/>
        <v>-70547.52</v>
      </c>
      <c r="J78" s="165">
        <f>F78/D78*100</f>
        <v>10.699341772151898</v>
      </c>
      <c r="K78" s="165">
        <v>12116.42</v>
      </c>
      <c r="L78" s="165">
        <f t="shared" si="24"/>
        <v>-3663.9400000000005</v>
      </c>
      <c r="M78" s="207">
        <f t="shared" si="25"/>
        <v>0.6976053982942155</v>
      </c>
      <c r="N78" s="155">
        <f>E78-серпень!E78</f>
        <v>3850</v>
      </c>
      <c r="O78" s="158">
        <f>F78-серпень!F78</f>
        <v>418.5599999999995</v>
      </c>
      <c r="P78" s="165">
        <f t="shared" si="27"/>
        <v>-3431.4400000000005</v>
      </c>
      <c r="Q78" s="165">
        <f>O78/N78*100</f>
        <v>10.871688311688299</v>
      </c>
      <c r="R78" s="37">
        <v>1500</v>
      </c>
      <c r="S78" s="37" t="e">
        <f>#N/A</f>
        <v>#N/A</v>
      </c>
    </row>
    <row r="79" spans="2:19" ht="18">
      <c r="B79" s="23" t="s">
        <v>101</v>
      </c>
      <c r="C79" s="72">
        <v>24110700</v>
      </c>
      <c r="D79" s="178">
        <v>12</v>
      </c>
      <c r="E79" s="178">
        <v>9</v>
      </c>
      <c r="F79" s="179">
        <v>9</v>
      </c>
      <c r="G79" s="160">
        <f t="shared" si="26"/>
        <v>0</v>
      </c>
      <c r="H79" s="162">
        <f>F79/E79*100</f>
        <v>100</v>
      </c>
      <c r="I79" s="165">
        <f t="shared" si="28"/>
        <v>-3</v>
      </c>
      <c r="J79" s="165">
        <f>F79/D79*100</f>
        <v>75</v>
      </c>
      <c r="K79" s="165">
        <v>10</v>
      </c>
      <c r="L79" s="165">
        <f t="shared" si="24"/>
        <v>-1</v>
      </c>
      <c r="M79" s="207">
        <f t="shared" si="25"/>
        <v>0.9</v>
      </c>
      <c r="N79" s="155">
        <f>E79-серпень!E79</f>
        <v>1</v>
      </c>
      <c r="O79" s="158">
        <f>F79-серпень!F79</f>
        <v>0</v>
      </c>
      <c r="P79" s="165">
        <f t="shared" si="27"/>
        <v>-1</v>
      </c>
      <c r="Q79" s="165">
        <f>O79/N79*100</f>
        <v>0</v>
      </c>
      <c r="R79" s="37">
        <v>1</v>
      </c>
      <c r="S79" s="37" t="e">
        <f>#N/A</f>
        <v>#N/A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93689</v>
      </c>
      <c r="F80" s="182">
        <f>F76+F77+F78+F79</f>
        <v>14435.439999999999</v>
      </c>
      <c r="G80" s="183">
        <f t="shared" si="26"/>
        <v>-79253.56</v>
      </c>
      <c r="H80" s="184">
        <f>F80/E80*100</f>
        <v>15.407828026769415</v>
      </c>
      <c r="I80" s="185">
        <f t="shared" si="28"/>
        <v>-222782.59</v>
      </c>
      <c r="J80" s="185">
        <f>F80/D80*100</f>
        <v>6.0853047299988114</v>
      </c>
      <c r="K80" s="185">
        <v>20583.82</v>
      </c>
      <c r="L80" s="165">
        <f t="shared" si="24"/>
        <v>-6148.380000000001</v>
      </c>
      <c r="M80" s="207">
        <f t="shared" si="25"/>
        <v>0.7013003417247138</v>
      </c>
      <c r="N80" s="183">
        <f>N76+N77+N78+N79</f>
        <v>28951</v>
      </c>
      <c r="O80" s="187">
        <f>O76+O77+O78+O79</f>
        <v>418.5599999999995</v>
      </c>
      <c r="P80" s="185">
        <f t="shared" si="27"/>
        <v>-28532.440000000002</v>
      </c>
      <c r="Q80" s="185">
        <f>O80/N80*100</f>
        <v>1.4457531691478687</v>
      </c>
      <c r="R80" s="38">
        <f>SUM(R76:R79)</f>
        <v>1701</v>
      </c>
      <c r="S80" s="38" t="e">
        <f>#N/A</f>
        <v>#N/A</v>
      </c>
    </row>
    <row r="81" spans="2:19" ht="46.5">
      <c r="B81" s="12" t="s">
        <v>40</v>
      </c>
      <c r="C81" s="74">
        <v>24062100</v>
      </c>
      <c r="D81" s="178">
        <v>40</v>
      </c>
      <c r="E81" s="178">
        <v>19</v>
      </c>
      <c r="F81" s="179">
        <v>38.14</v>
      </c>
      <c r="G81" s="160">
        <f t="shared" si="26"/>
        <v>19.14</v>
      </c>
      <c r="H81" s="162"/>
      <c r="I81" s="165">
        <f t="shared" si="28"/>
        <v>-1.8599999999999994</v>
      </c>
      <c r="J81" s="165"/>
      <c r="K81" s="165">
        <v>35.78</v>
      </c>
      <c r="L81" s="165">
        <f t="shared" si="24"/>
        <v>2.3599999999999994</v>
      </c>
      <c r="M81" s="207">
        <f t="shared" si="25"/>
        <v>1.0659586361095583</v>
      </c>
      <c r="N81" s="155">
        <f>E81-серпень!E81</f>
        <v>15</v>
      </c>
      <c r="O81" s="158">
        <f>F81-серпень!F81</f>
        <v>0</v>
      </c>
      <c r="P81" s="165">
        <f t="shared" si="27"/>
        <v>-15</v>
      </c>
      <c r="Q81" s="165"/>
      <c r="R81" s="37">
        <v>1</v>
      </c>
      <c r="S81" s="37" t="e">
        <f>#N/A</f>
        <v>#N/A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26"/>
        <v>0</v>
      </c>
      <c r="H82" s="162"/>
      <c r="I82" s="165">
        <f t="shared" si="28"/>
        <v>0</v>
      </c>
      <c r="J82" s="188"/>
      <c r="K82" s="165">
        <v>0</v>
      </c>
      <c r="L82" s="165">
        <f t="shared" si="24"/>
        <v>0</v>
      </c>
      <c r="M82" s="207" t="e">
        <f t="shared" si="25"/>
        <v>#DIV/0!</v>
      </c>
      <c r="N82" s="155">
        <f>E82-серпень!E82</f>
        <v>0</v>
      </c>
      <c r="O82" s="158">
        <f>F82-серпень!F82</f>
        <v>0</v>
      </c>
      <c r="P82" s="165">
        <f t="shared" si="27"/>
        <v>0</v>
      </c>
      <c r="Q82" s="188"/>
      <c r="R82" s="40"/>
      <c r="S82" s="37" t="e">
        <f>#N/A</f>
        <v>#N/A</v>
      </c>
    </row>
    <row r="83" spans="2:19" ht="18">
      <c r="B83" s="23" t="s">
        <v>46</v>
      </c>
      <c r="C83" s="72">
        <v>19010000</v>
      </c>
      <c r="D83" s="178">
        <v>8360</v>
      </c>
      <c r="E83" s="178">
        <v>6393.7</v>
      </c>
      <c r="F83" s="179">
        <v>6573.76</v>
      </c>
      <c r="G83" s="160">
        <f t="shared" si="26"/>
        <v>180.0600000000004</v>
      </c>
      <c r="H83" s="162">
        <f>F83/E83*100</f>
        <v>102.81620970642977</v>
      </c>
      <c r="I83" s="165">
        <f t="shared" si="28"/>
        <v>-1786.2399999999998</v>
      </c>
      <c r="J83" s="165">
        <f>F83/D83*100</f>
        <v>78.63349282296652</v>
      </c>
      <c r="K83" s="165">
        <v>6825.67</v>
      </c>
      <c r="L83" s="165">
        <f t="shared" si="24"/>
        <v>-251.90999999999985</v>
      </c>
      <c r="M83" s="207">
        <f t="shared" si="25"/>
        <v>0.9630937329229219</v>
      </c>
      <c r="N83" s="155">
        <f>E83-серпень!E83</f>
        <v>0.4999999999990905</v>
      </c>
      <c r="O83" s="158">
        <f>F83-серпень!F83</f>
        <v>0</v>
      </c>
      <c r="P83" s="165">
        <f t="shared" si="27"/>
        <v>-0.4999999999990905</v>
      </c>
      <c r="Q83" s="165">
        <f>O83/N83*100</f>
        <v>0</v>
      </c>
      <c r="R83" s="40">
        <v>2850</v>
      </c>
      <c r="S83" s="285" t="e">
        <f>#N/A</f>
        <v>#N/A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0.08</v>
      </c>
      <c r="G84" s="160">
        <f t="shared" si="26"/>
        <v>0.08</v>
      </c>
      <c r="H84" s="162"/>
      <c r="I84" s="165">
        <f t="shared" si="28"/>
        <v>0.08</v>
      </c>
      <c r="J84" s="165"/>
      <c r="K84" s="165">
        <v>1.22</v>
      </c>
      <c r="L84" s="165">
        <f t="shared" si="24"/>
        <v>-1.14</v>
      </c>
      <c r="M84" s="207">
        <f t="shared" si="25"/>
        <v>0.06557377049180328</v>
      </c>
      <c r="N84" s="155">
        <f>E84-серпень!E84</f>
        <v>0</v>
      </c>
      <c r="O84" s="158">
        <f>F84-серпень!F84</f>
        <v>0</v>
      </c>
      <c r="P84" s="165">
        <f t="shared" si="27"/>
        <v>0</v>
      </c>
      <c r="Q84" s="188"/>
      <c r="R84" s="37">
        <v>0</v>
      </c>
      <c r="S84" s="37" t="e">
        <f>#N/A</f>
        <v>#N/A</v>
      </c>
    </row>
    <row r="85" spans="2:19" ht="30.75">
      <c r="B85" s="27" t="s">
        <v>47</v>
      </c>
      <c r="C85" s="72"/>
      <c r="D85" s="181">
        <f>D81+D84+D82+D83</f>
        <v>8400</v>
      </c>
      <c r="E85" s="181">
        <f>E81+E84+E82+E83</f>
        <v>6412.7</v>
      </c>
      <c r="F85" s="182">
        <f>F81+F84+F82+F83</f>
        <v>6611.9800000000005</v>
      </c>
      <c r="G85" s="183">
        <f t="shared" si="26"/>
        <v>199.28000000000065</v>
      </c>
      <c r="H85" s="184">
        <f>F85/E85*100</f>
        <v>103.10758338921204</v>
      </c>
      <c r="I85" s="185">
        <f t="shared" si="28"/>
        <v>-1788.0199999999995</v>
      </c>
      <c r="J85" s="185">
        <f>F85/D85*100</f>
        <v>78.71404761904762</v>
      </c>
      <c r="K85" s="185">
        <v>6862.67</v>
      </c>
      <c r="L85" s="165">
        <f t="shared" si="24"/>
        <v>-250.6899999999996</v>
      </c>
      <c r="M85" s="207">
        <f t="shared" si="25"/>
        <v>0.9634704859770323</v>
      </c>
      <c r="N85" s="183">
        <f>N81+N84+N82+N83</f>
        <v>15.49999999999909</v>
      </c>
      <c r="O85" s="187">
        <f>O81+O84+O82+O83</f>
        <v>0</v>
      </c>
      <c r="P85" s="185">
        <f t="shared" si="27"/>
        <v>-15.49999999999909</v>
      </c>
      <c r="Q85" s="185">
        <f>O85/N85*100</f>
        <v>0</v>
      </c>
      <c r="R85" s="38">
        <f>SUM(R81:R84)</f>
        <v>2851</v>
      </c>
      <c r="S85" s="38" t="e">
        <f>#N/A</f>
        <v>#N/A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33.7</v>
      </c>
      <c r="F86" s="179">
        <v>17.65</v>
      </c>
      <c r="G86" s="160">
        <f t="shared" si="26"/>
        <v>-16.050000000000004</v>
      </c>
      <c r="H86" s="162">
        <f>F86/E86*100</f>
        <v>52.373887240356076</v>
      </c>
      <c r="I86" s="165">
        <f t="shared" si="28"/>
        <v>-20.35</v>
      </c>
      <c r="J86" s="165">
        <f>F86/D86*100</f>
        <v>46.44736842105262</v>
      </c>
      <c r="K86" s="185">
        <v>26.87</v>
      </c>
      <c r="L86" s="165">
        <f t="shared" si="24"/>
        <v>-9.220000000000002</v>
      </c>
      <c r="M86" s="207">
        <f t="shared" si="25"/>
        <v>0.6568663937476739</v>
      </c>
      <c r="N86" s="155">
        <f>E86-серпень!E86</f>
        <v>7.300000000000001</v>
      </c>
      <c r="O86" s="158">
        <f>F86-серпень!F86</f>
        <v>0</v>
      </c>
      <c r="P86" s="165">
        <f t="shared" si="27"/>
        <v>-7.300000000000001</v>
      </c>
      <c r="Q86" s="165">
        <f>O86/N86*100</f>
        <v>0</v>
      </c>
      <c r="R86" s="37">
        <v>1.2</v>
      </c>
      <c r="S86" s="37" t="e">
        <f>#N/A</f>
        <v>#N/A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 t="e">
        <f>#N/A</f>
        <v>#N/A</v>
      </c>
      <c r="H87" s="162"/>
      <c r="I87" s="165" t="e">
        <f>#N/A</f>
        <v>#N/A</v>
      </c>
      <c r="J87" s="165"/>
      <c r="K87" s="165">
        <v>18.76</v>
      </c>
      <c r="L87" s="185" t="e">
        <f>#N/A</f>
        <v>#N/A</v>
      </c>
      <c r="M87" s="207">
        <f t="shared" si="25"/>
        <v>0</v>
      </c>
      <c r="N87" s="162">
        <f>E87-квітень!E87</f>
        <v>0</v>
      </c>
      <c r="O87" s="166">
        <f>F87-квітень!F87</f>
        <v>0</v>
      </c>
      <c r="P87" s="165" t="e">
        <f>#N/A</f>
        <v>#N/A</v>
      </c>
      <c r="Q87" s="165"/>
      <c r="R87" s="37">
        <v>0</v>
      </c>
      <c r="S87" s="37" t="e">
        <f>#N/A</f>
        <v>#N/A</v>
      </c>
    </row>
    <row r="88" spans="2:19" ht="23.25" customHeight="1">
      <c r="B88" s="303" t="s">
        <v>31</v>
      </c>
      <c r="C88" s="304"/>
      <c r="D88" s="305">
        <f>D74+D75+D80+D85+D86</f>
        <v>245656.03</v>
      </c>
      <c r="E88" s="305">
        <f>E74+E75+E80+E85+E86</f>
        <v>100135.4</v>
      </c>
      <c r="F88" s="305">
        <f>F74+F75+F80+F85+F86</f>
        <v>21098.010000000002</v>
      </c>
      <c r="G88" s="306">
        <f>F88-E88</f>
        <v>-79037.38999999998</v>
      </c>
      <c r="H88" s="307">
        <f>F88/E88*100</f>
        <v>21.06948192147832</v>
      </c>
      <c r="I88" s="298">
        <f>F88-D88</f>
        <v>-224558.02</v>
      </c>
      <c r="J88" s="298">
        <f>F88/D88*100</f>
        <v>8.588435626839692</v>
      </c>
      <c r="K88" s="305">
        <v>27469.53</v>
      </c>
      <c r="L88" s="298">
        <f>F88-K88</f>
        <v>-6371.519999999997</v>
      </c>
      <c r="M88" s="299">
        <f t="shared" si="25"/>
        <v>0.7680513645482833</v>
      </c>
      <c r="N88" s="305">
        <f>N74+N75+N80+N85+N86</f>
        <v>28973.8</v>
      </c>
      <c r="O88" s="305">
        <f>O74+O75+O80+O85+O86</f>
        <v>418.5599999999995</v>
      </c>
      <c r="P88" s="298">
        <f>O88-N88</f>
        <v>-28555.239999999998</v>
      </c>
      <c r="Q88" s="298">
        <f>O88/N88*100</f>
        <v>1.444615480192448</v>
      </c>
      <c r="R88" s="26">
        <f>R80+R85+R86+R87</f>
        <v>4553.2</v>
      </c>
      <c r="S88" s="26" t="e">
        <f>S80+S85+S86+S87</f>
        <v>#N/A</v>
      </c>
    </row>
    <row r="89" spans="2:19" ht="17.25">
      <c r="B89" s="308" t="s">
        <v>169</v>
      </c>
      <c r="C89" s="304"/>
      <c r="D89" s="305">
        <f>D67+D88</f>
        <v>1603147.1300000001</v>
      </c>
      <c r="E89" s="305">
        <f>E67+E88</f>
        <v>1092326.6</v>
      </c>
      <c r="F89" s="305">
        <f>F67+F88</f>
        <v>911650.0599999999</v>
      </c>
      <c r="G89" s="306">
        <f>F89-E89</f>
        <v>-180676.54000000015</v>
      </c>
      <c r="H89" s="307">
        <f>F89/E89*100</f>
        <v>83.45947631413534</v>
      </c>
      <c r="I89" s="298">
        <f>F89-D89</f>
        <v>-691497.0700000002</v>
      </c>
      <c r="J89" s="298">
        <f>F89/D89*100</f>
        <v>56.86627527443472</v>
      </c>
      <c r="K89" s="298">
        <f>K67+K88</f>
        <v>784969.6</v>
      </c>
      <c r="L89" s="298">
        <f>L67+L88</f>
        <v>126680.45999999999</v>
      </c>
      <c r="M89" s="299">
        <f t="shared" si="25"/>
        <v>1.16138263188791</v>
      </c>
      <c r="N89" s="306">
        <f>N67+N88</f>
        <v>134766.19999999995</v>
      </c>
      <c r="O89" s="306">
        <f>O67+O88</f>
        <v>5456.449999999962</v>
      </c>
      <c r="P89" s="298">
        <f>O89-N89</f>
        <v>-129309.74999999999</v>
      </c>
      <c r="Q89" s="298">
        <f>O89/N89*100</f>
        <v>4.048826782976713</v>
      </c>
      <c r="R89" s="26">
        <f>R67+R88</f>
        <v>112668.9</v>
      </c>
      <c r="S89" s="26" t="e">
        <f>S67+S88</f>
        <v>#N/A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20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5037.7255000000005</v>
      </c>
      <c r="D92" s="4" t="s">
        <v>24</v>
      </c>
      <c r="G92" s="325"/>
      <c r="H92" s="325"/>
      <c r="I92" s="325"/>
      <c r="J92" s="325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42979</v>
      </c>
      <c r="D93" s="28">
        <v>5037.9</v>
      </c>
      <c r="G93" s="4" t="s">
        <v>58</v>
      </c>
      <c r="O93" s="313"/>
      <c r="P93" s="313"/>
    </row>
    <row r="94" spans="3:16" ht="15">
      <c r="C94" s="80">
        <v>42978</v>
      </c>
      <c r="D94" s="28">
        <v>7963.3</v>
      </c>
      <c r="G94" s="309"/>
      <c r="H94" s="309"/>
      <c r="I94" s="117"/>
      <c r="J94" s="292"/>
      <c r="K94" s="292"/>
      <c r="L94" s="292"/>
      <c r="M94" s="292"/>
      <c r="N94" s="292"/>
      <c r="O94" s="313"/>
      <c r="P94" s="313"/>
    </row>
    <row r="95" spans="3:16" ht="15.75" customHeight="1">
      <c r="C95" s="80">
        <v>42977</v>
      </c>
      <c r="D95" s="28">
        <v>9672.2</v>
      </c>
      <c r="F95" s="67"/>
      <c r="G95" s="309"/>
      <c r="H95" s="309"/>
      <c r="I95" s="117"/>
      <c r="J95" s="293"/>
      <c r="K95" s="293"/>
      <c r="L95" s="293"/>
      <c r="M95" s="293"/>
      <c r="N95" s="293"/>
      <c r="O95" s="313"/>
      <c r="P95" s="313"/>
    </row>
    <row r="96" spans="3:14" ht="15.75" customHeight="1">
      <c r="C96" s="80"/>
      <c r="F96" s="67"/>
      <c r="G96" s="314"/>
      <c r="H96" s="314"/>
      <c r="I96" s="123"/>
      <c r="J96" s="292"/>
      <c r="K96" s="292"/>
      <c r="L96" s="292"/>
      <c r="M96" s="292"/>
      <c r="N96" s="292"/>
    </row>
    <row r="97" spans="2:14" ht="18" customHeight="1">
      <c r="B97" s="315" t="s">
        <v>56</v>
      </c>
      <c r="C97" s="316"/>
      <c r="D97" s="132">
        <v>8626.34759</v>
      </c>
      <c r="E97" s="68"/>
      <c r="F97" s="124" t="s">
        <v>105</v>
      </c>
      <c r="G97" s="309"/>
      <c r="H97" s="30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309"/>
      <c r="H98" s="309"/>
      <c r="I98" s="67"/>
      <c r="J98" s="68"/>
      <c r="K98" s="68"/>
      <c r="L98" s="68"/>
      <c r="M98" s="68"/>
    </row>
    <row r="99" spans="2:13" ht="22.5" customHeight="1" hidden="1">
      <c r="B99" s="310" t="s">
        <v>59</v>
      </c>
      <c r="C99" s="311"/>
      <c r="D99" s="79">
        <v>0</v>
      </c>
      <c r="E99" s="50" t="s">
        <v>24</v>
      </c>
      <c r="F99" s="67"/>
      <c r="G99" s="309"/>
      <c r="H99" s="30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892</v>
      </c>
      <c r="F100" s="201">
        <f>F48+F51+F52</f>
        <v>1232.2900000000002</v>
      </c>
      <c r="G100" s="67">
        <f>G48+G51+G52</f>
        <v>340.2900000000001</v>
      </c>
      <c r="H100" s="68"/>
      <c r="I100" s="68"/>
      <c r="N100" s="28">
        <f>N48+N51+N52</f>
        <v>86</v>
      </c>
      <c r="O100" s="200">
        <f>O48+O51+O52</f>
        <v>11.500000000000057</v>
      </c>
      <c r="P100" s="28">
        <f>P48+P51+P52</f>
        <v>-74.49999999999994</v>
      </c>
    </row>
    <row r="101" spans="4:16" ht="15" hidden="1">
      <c r="D101" s="77"/>
      <c r="I101" s="28"/>
      <c r="O101" s="312"/>
      <c r="P101" s="312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947125.4</v>
      </c>
      <c r="F102" s="227">
        <f>F9+F15+F18+F19+F23+F42+F45+F65+F59</f>
        <v>844143.83</v>
      </c>
      <c r="G102" s="28">
        <f>F102-E102</f>
        <v>-102981.57000000007</v>
      </c>
      <c r="H102" s="228">
        <f>F102/E102</f>
        <v>0.8912693398360977</v>
      </c>
      <c r="I102" s="28">
        <f>F102-D102</f>
        <v>-454904.77000000014</v>
      </c>
      <c r="J102" s="228">
        <f>F102/D102</f>
        <v>0.649816973745247</v>
      </c>
      <c r="N102" s="28">
        <f>N9+N15+N17+N18+N19+N23+N42+N45+N65+N59</f>
        <v>100821.59999999996</v>
      </c>
      <c r="O102" s="227">
        <f>O9+O15+O17+O18+O19+O23+O42+O45+O65+O59</f>
        <v>2466.9999999999636</v>
      </c>
      <c r="P102" s="28">
        <f>O102-N102</f>
        <v>-98354.6</v>
      </c>
      <c r="Q102" s="228">
        <f>O102/N102</f>
        <v>0.024468962999991715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45065.8</v>
      </c>
      <c r="F103" s="227">
        <f>F43+F44+F46+F48+F50+F51+F52+F53+F54+F60+F64+F47+F66</f>
        <v>46384.349999999984</v>
      </c>
      <c r="G103" s="28">
        <f>G43+G44+G46+G48+G50+G51+G52+G53+G54+G60+G64+G47</f>
        <v>1323.7199999999973</v>
      </c>
      <c r="H103" s="228">
        <f>F103/E103</f>
        <v>1.0292583289323607</v>
      </c>
      <c r="I103" s="28">
        <f>I43+I44+I46+I48+I50+I51+I52+I53+I54+I60+I64+I47</f>
        <v>-12052.980000000005</v>
      </c>
      <c r="J103" s="228">
        <f>F103/D103</f>
        <v>0.7936749796808826</v>
      </c>
      <c r="K103" s="28">
        <f>K43+K44+K46+K48+K50+K51+K52+K53+K54+K60+K64+K47</f>
        <v>49023.450000000004</v>
      </c>
      <c r="L103" s="28">
        <f>L43+L44+L46+L48+L50+L51+L52+L53+L54+L60+L64+L47</f>
        <v>-2633.9300000000035</v>
      </c>
      <c r="M103" s="28">
        <f>M43+M44+M46+M48+M50+M51+M52+M53+M54+M60+M64+M47</f>
        <v>19.131321121187142</v>
      </c>
      <c r="N103" s="28">
        <f>N43+N44+N46+N48+N50+N51+N52+N53+N54+N60+N64+N47+N66</f>
        <v>4970.8</v>
      </c>
      <c r="O103" s="227">
        <f>O43+O44+O46+O48+O50+O51+O52+O53+O54+O60+O64+O47+O66</f>
        <v>2570.8899999999985</v>
      </c>
      <c r="P103" s="28">
        <f>P43+P44+P46+P48+P50+P51+P52+P53+P54+P60+P64+P47</f>
        <v>-2399.9100000000017</v>
      </c>
      <c r="Q103" s="228">
        <f>O103/N103</f>
        <v>0.5171984388830768</v>
      </c>
    </row>
    <row r="104" spans="2:17" ht="15" hidden="1">
      <c r="B104" s="4" t="s">
        <v>118</v>
      </c>
      <c r="D104" s="28">
        <f>SUM(D102:D103)</f>
        <v>1357491.1</v>
      </c>
      <c r="E104" s="28" t="e">
        <f>#N/A</f>
        <v>#N/A</v>
      </c>
      <c r="F104" s="227" t="e">
        <f>#N/A</f>
        <v>#N/A</v>
      </c>
      <c r="G104" s="28" t="e">
        <f>#N/A</f>
        <v>#N/A</v>
      </c>
      <c r="H104" s="228" t="e">
        <f>F104/E104</f>
        <v>#N/A</v>
      </c>
      <c r="I104" s="28" t="e">
        <f>#N/A</f>
        <v>#N/A</v>
      </c>
      <c r="J104" s="228" t="e">
        <f>F104/D104</f>
        <v>#N/A</v>
      </c>
      <c r="K104" s="28" t="e">
        <f>#N/A</f>
        <v>#N/A</v>
      </c>
      <c r="L104" s="28" t="e">
        <f>#N/A</f>
        <v>#N/A</v>
      </c>
      <c r="M104" s="28" t="e">
        <f>#N/A</f>
        <v>#N/A</v>
      </c>
      <c r="N104" s="28" t="e">
        <f>#N/A</f>
        <v>#N/A</v>
      </c>
      <c r="O104" s="227" t="e">
        <f>#N/A</f>
        <v>#N/A</v>
      </c>
      <c r="P104" s="28" t="e">
        <f>#N/A</f>
        <v>#N/A</v>
      </c>
      <c r="Q104" s="228" t="e">
        <f>O104/N104</f>
        <v>#N/A</v>
      </c>
    </row>
    <row r="105" spans="4:19" ht="15" hidden="1">
      <c r="D105" s="28">
        <f>D67-D104</f>
        <v>0</v>
      </c>
      <c r="E105" s="28" t="e">
        <f>#N/A</f>
        <v>#N/A</v>
      </c>
      <c r="F105" s="28" t="e">
        <f>#N/A</f>
        <v>#N/A</v>
      </c>
      <c r="G105" s="28" t="e">
        <f>#N/A</f>
        <v>#N/A</v>
      </c>
      <c r="H105" s="228"/>
      <c r="I105" s="28" t="e">
        <f>#N/A</f>
        <v>#N/A</v>
      </c>
      <c r="J105" s="228"/>
      <c r="K105" s="28" t="e">
        <f>K67-K104</f>
        <v>#N/A</v>
      </c>
      <c r="L105" s="28" t="e">
        <f>#N/A</f>
        <v>#N/A</v>
      </c>
      <c r="M105" s="28" t="e">
        <f>#N/A</f>
        <v>#N/A</v>
      </c>
      <c r="N105" s="28" t="e">
        <f>#N/A</f>
        <v>#N/A</v>
      </c>
      <c r="O105" s="28" t="e">
        <f>#N/A</f>
        <v>#N/A</v>
      </c>
      <c r="P105" s="28" t="e">
        <f>#N/A</f>
        <v>#N/A</v>
      </c>
      <c r="Q105" s="28"/>
      <c r="R105" s="28" t="e">
        <f>#N/A</f>
        <v>#N/A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102455.50000000006</v>
      </c>
    </row>
    <row r="108" spans="2:5" ht="15" hidden="1">
      <c r="B108" s="242" t="s">
        <v>153</v>
      </c>
      <c r="E108" s="28">
        <f>E88-E83-E76-E77</f>
        <v>27811.699999999997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118237.45999999999</v>
      </c>
      <c r="F111" s="189">
        <f>F88+F110</f>
        <v>41352.33</v>
      </c>
      <c r="G111" s="190">
        <f>F111-E111</f>
        <v>-76885.12999999999</v>
      </c>
      <c r="H111" s="191">
        <f>F111/E111*100</f>
        <v>34.97396679529483</v>
      </c>
      <c r="I111" s="192">
        <f>F111-D111</f>
        <v>-276711.92</v>
      </c>
      <c r="J111" s="192">
        <f>F111/D111*100</f>
        <v>13.0012505335007</v>
      </c>
      <c r="K111" s="192">
        <v>3039.87</v>
      </c>
      <c r="L111" s="192">
        <f>F111-K111</f>
        <v>38312.46</v>
      </c>
      <c r="M111" s="266">
        <f>F111/K111</f>
        <v>13.603321852579223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1110428.6600000001</v>
      </c>
      <c r="F112" s="189">
        <f>F111+F67</f>
        <v>931904.3799999999</v>
      </c>
      <c r="G112" s="190">
        <f>F112-E112</f>
        <v>-178524.28000000026</v>
      </c>
      <c r="H112" s="191">
        <f>F112/E112*100</f>
        <v>83.9229401733921</v>
      </c>
      <c r="I112" s="192">
        <f>F112-D112</f>
        <v>-743650.9700000002</v>
      </c>
      <c r="J112" s="192">
        <f>F112/D112*100</f>
        <v>55.61764223425981</v>
      </c>
      <c r="K112" s="192">
        <f>K89+K111</f>
        <v>788009.47</v>
      </c>
      <c r="L112" s="192">
        <f>F112-K112</f>
        <v>143894.90999999992</v>
      </c>
      <c r="M112" s="266">
        <f>F112/K112</f>
        <v>1.1826055592961338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 t="e">
        <f>#N/A</f>
        <v>#N/A</v>
      </c>
      <c r="E113" s="241" t="e">
        <f>#N/A</f>
        <v>#N/A</v>
      </c>
      <c r="F113" s="241" t="e">
        <f>#N/A</f>
        <v>#N/A</v>
      </c>
      <c r="G113" s="241" t="e">
        <f>#N/A</f>
        <v>#N/A</v>
      </c>
      <c r="H113" s="241" t="e">
        <f>F113/E113*100</f>
        <v>#N/A</v>
      </c>
      <c r="I113" s="35" t="e">
        <f>#N/A</f>
        <v>#N/A</v>
      </c>
      <c r="J113" s="35" t="e">
        <f>F113/D113*100</f>
        <v>#N/A</v>
      </c>
      <c r="Q113" s="88"/>
    </row>
    <row r="114" spans="2:17" ht="15" customHeight="1" hidden="1">
      <c r="B114" s="237" t="s">
        <v>141</v>
      </c>
      <c r="C114" s="236">
        <v>41000000</v>
      </c>
      <c r="D114" s="241" t="e">
        <f>#N/A</f>
        <v>#N/A</v>
      </c>
      <c r="E114" s="241" t="e">
        <f>#N/A</f>
        <v>#N/A</v>
      </c>
      <c r="F114" s="241" t="e">
        <f>#N/A</f>
        <v>#N/A</v>
      </c>
      <c r="G114" s="241" t="e">
        <f>#N/A</f>
        <v>#N/A</v>
      </c>
      <c r="H114" s="241" t="e">
        <f>#N/A</f>
        <v>#N/A</v>
      </c>
      <c r="I114" s="35" t="e">
        <f>#N/A</f>
        <v>#N/A</v>
      </c>
      <c r="J114" s="35" t="e">
        <f>#N/A</f>
        <v>#N/A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 t="e">
        <f>#N/A</f>
        <v>#N/A</v>
      </c>
      <c r="H115" s="241" t="e">
        <f>#N/A</f>
        <v>#N/A</v>
      </c>
      <c r="I115" s="35" t="e">
        <f>#N/A</f>
        <v>#N/A</v>
      </c>
      <c r="J115" s="35" t="e">
        <f>#N/A</f>
        <v>#N/A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 t="e">
        <f>#N/A</f>
        <v>#N/A</v>
      </c>
      <c r="H116" s="241" t="e">
        <f>#N/A</f>
        <v>#N/A</v>
      </c>
      <c r="I116" s="35" t="e">
        <f>#N/A</f>
        <v>#N/A</v>
      </c>
      <c r="J116" s="35" t="e">
        <f>#N/A</f>
        <v>#N/A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 t="e">
        <f>#N/A</f>
        <v>#N/A</v>
      </c>
      <c r="H117" s="241" t="e">
        <f>#N/A</f>
        <v>#N/A</v>
      </c>
      <c r="I117" s="35" t="e">
        <f>#N/A</f>
        <v>#N/A</v>
      </c>
      <c r="J117" s="35" t="e">
        <f>#N/A</f>
        <v>#N/A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 t="e">
        <f>#N/A</f>
        <v>#N/A</v>
      </c>
      <c r="H118" s="241" t="e">
        <f>#N/A</f>
        <v>#N/A</v>
      </c>
      <c r="I118" s="35" t="e">
        <f>#N/A</f>
        <v>#N/A</v>
      </c>
      <c r="J118" s="35" t="e">
        <f>#N/A</f>
        <v>#N/A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 t="e">
        <f>#N/A</f>
        <v>#N/A</v>
      </c>
      <c r="H119" s="241" t="e">
        <f>#N/A</f>
        <v>#N/A</v>
      </c>
      <c r="I119" s="35" t="e">
        <f>#N/A</f>
        <v>#N/A</v>
      </c>
      <c r="J119" s="35" t="e">
        <f>#N/A</f>
        <v>#N/A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 t="e">
        <f>#N/A</f>
        <v>#N/A</v>
      </c>
      <c r="H120" s="241" t="e">
        <f>#N/A</f>
        <v>#N/A</v>
      </c>
      <c r="I120" s="35" t="e">
        <f>#N/A</f>
        <v>#N/A</v>
      </c>
      <c r="J120" s="35" t="e">
        <f>#N/A</f>
        <v>#N/A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 t="e">
        <f>#N/A</f>
        <v>#N/A</v>
      </c>
      <c r="H121" s="241" t="e">
        <f>#N/A</f>
        <v>#N/A</v>
      </c>
      <c r="I121" s="35" t="e">
        <f>#N/A</f>
        <v>#N/A</v>
      </c>
      <c r="J121" s="35" t="e">
        <f>#N/A</f>
        <v>#N/A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 t="e">
        <f>#N/A</f>
        <v>#N/A</v>
      </c>
      <c r="H122" s="241" t="e">
        <f>#N/A</f>
        <v>#N/A</v>
      </c>
      <c r="I122" s="35" t="e">
        <f>#N/A</f>
        <v>#N/A</v>
      </c>
      <c r="J122" s="35" t="e">
        <f>#N/A</f>
        <v>#N/A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 t="e">
        <f>#N/A</f>
        <v>#N/A</v>
      </c>
      <c r="H123" s="241" t="e">
        <f>#N/A</f>
        <v>#N/A</v>
      </c>
      <c r="I123" s="35" t="e">
        <f>#N/A</f>
        <v>#N/A</v>
      </c>
      <c r="J123" s="35" t="e">
        <f>#N/A</f>
        <v>#N/A</v>
      </c>
      <c r="Q123" s="88"/>
    </row>
    <row r="124" spans="2:17" s="239" customFormat="1" ht="25.5" customHeight="1" hidden="1">
      <c r="B124" s="272" t="s">
        <v>145</v>
      </c>
      <c r="C124" s="273"/>
      <c r="D124" s="274" t="e">
        <f>D112+D113</f>
        <v>#N/A</v>
      </c>
      <c r="E124" s="274" t="e">
        <f>E112+E113</f>
        <v>#N/A</v>
      </c>
      <c r="F124" s="274" t="e">
        <f>F112+F113</f>
        <v>#N/A</v>
      </c>
      <c r="G124" s="275" t="e">
        <f>#N/A</f>
        <v>#N/A</v>
      </c>
      <c r="H124" s="274" t="e">
        <f>#N/A</f>
        <v>#N/A</v>
      </c>
      <c r="I124" s="276" t="e">
        <f>#N/A</f>
        <v>#N/A</v>
      </c>
      <c r="J124" s="276" t="e">
        <f>#N/A</f>
        <v>#N/A</v>
      </c>
      <c r="Q124" s="240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G97:H97"/>
    <mergeCell ref="P4:P5"/>
    <mergeCell ref="Q4:Q5"/>
    <mergeCell ref="K5:M5"/>
    <mergeCell ref="R5:S5"/>
    <mergeCell ref="G92:J92"/>
    <mergeCell ref="O93:P93"/>
    <mergeCell ref="G98:H98"/>
    <mergeCell ref="B99:C99"/>
    <mergeCell ref="G99:H99"/>
    <mergeCell ref="O101:P101"/>
    <mergeCell ref="G94:H94"/>
    <mergeCell ref="O94:P94"/>
    <mergeCell ref="G95:H95"/>
    <mergeCell ref="O95:P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28" sqref="E12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2" t="s">
        <v>220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85"/>
      <c r="S1" s="85"/>
    </row>
    <row r="2" spans="2:19" s="1" customFormat="1" ht="15.75" customHeight="1">
      <c r="B2" s="333"/>
      <c r="C2" s="333"/>
      <c r="D2" s="33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4"/>
      <c r="B3" s="336"/>
      <c r="C3" s="337" t="s">
        <v>0</v>
      </c>
      <c r="D3" s="338" t="s">
        <v>137</v>
      </c>
      <c r="E3" s="31"/>
      <c r="F3" s="339" t="s">
        <v>26</v>
      </c>
      <c r="G3" s="340"/>
      <c r="H3" s="340"/>
      <c r="I3" s="340"/>
      <c r="J3" s="341"/>
      <c r="K3" s="82"/>
      <c r="L3" s="82"/>
      <c r="M3" s="82"/>
      <c r="N3" s="342" t="s">
        <v>217</v>
      </c>
      <c r="O3" s="343" t="s">
        <v>223</v>
      </c>
      <c r="P3" s="343"/>
      <c r="Q3" s="343"/>
      <c r="R3" s="343"/>
      <c r="S3" s="343"/>
    </row>
    <row r="4" spans="1:19" ht="22.5" customHeight="1">
      <c r="A4" s="334"/>
      <c r="B4" s="336"/>
      <c r="C4" s="337"/>
      <c r="D4" s="338"/>
      <c r="E4" s="344" t="s">
        <v>214</v>
      </c>
      <c r="F4" s="326" t="s">
        <v>33</v>
      </c>
      <c r="G4" s="317" t="s">
        <v>215</v>
      </c>
      <c r="H4" s="328" t="s">
        <v>216</v>
      </c>
      <c r="I4" s="317" t="s">
        <v>125</v>
      </c>
      <c r="J4" s="328" t="s">
        <v>126</v>
      </c>
      <c r="K4" s="84" t="s">
        <v>128</v>
      </c>
      <c r="L4" s="202" t="s">
        <v>111</v>
      </c>
      <c r="M4" s="89" t="s">
        <v>63</v>
      </c>
      <c r="N4" s="328"/>
      <c r="O4" s="330" t="s">
        <v>221</v>
      </c>
      <c r="P4" s="317" t="s">
        <v>49</v>
      </c>
      <c r="Q4" s="319" t="s">
        <v>48</v>
      </c>
      <c r="R4" s="90" t="s">
        <v>64</v>
      </c>
      <c r="S4" s="90"/>
    </row>
    <row r="5" spans="1:19" ht="67.5" customHeight="1">
      <c r="A5" s="335"/>
      <c r="B5" s="336"/>
      <c r="C5" s="337"/>
      <c r="D5" s="338"/>
      <c r="E5" s="345"/>
      <c r="F5" s="327"/>
      <c r="G5" s="318"/>
      <c r="H5" s="329"/>
      <c r="I5" s="318"/>
      <c r="J5" s="329"/>
      <c r="K5" s="320" t="s">
        <v>218</v>
      </c>
      <c r="L5" s="321"/>
      <c r="M5" s="322"/>
      <c r="N5" s="329"/>
      <c r="O5" s="331"/>
      <c r="P5" s="318"/>
      <c r="Q5" s="319"/>
      <c r="R5" s="323" t="s">
        <v>202</v>
      </c>
      <c r="S5" s="324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845811.2</v>
      </c>
      <c r="F8" s="149">
        <f>F9+F15+F18+F19+F23+F17</f>
        <v>838073.4800000001</v>
      </c>
      <c r="G8" s="149">
        <f>F8-E8</f>
        <v>-7737.719999999856</v>
      </c>
      <c r="H8" s="150">
        <f>F8/E8*100</f>
        <v>99.08517172626706</v>
      </c>
      <c r="I8" s="151">
        <f aca="true" t="shared" si="0" ref="I8:I15">F8-D8</f>
        <v>-460377.62</v>
      </c>
      <c r="J8" s="151">
        <f aca="true" t="shared" si="1" ref="J8:J15">F8/D8*100</f>
        <v>64.54409257306648</v>
      </c>
      <c r="K8" s="149">
        <v>633520.83</v>
      </c>
      <c r="L8" s="149">
        <f aca="true" t="shared" si="2" ref="L8:L25">F8-K8</f>
        <v>204552.65000000014</v>
      </c>
      <c r="M8" s="203">
        <f aca="true" t="shared" si="3" ref="M8:M20">F8/K8</f>
        <v>1.3228822799717574</v>
      </c>
      <c r="N8" s="149">
        <f>N9+N15+N18+N19+N23+N17</f>
        <v>118471</v>
      </c>
      <c r="O8" s="149">
        <f>O9+O15+O18+O19+O23+O17</f>
        <v>112500.43000000008</v>
      </c>
      <c r="P8" s="149">
        <f>O8-N8</f>
        <v>-5970.56999999992</v>
      </c>
      <c r="Q8" s="149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f>416540+64700</f>
        <v>481240</v>
      </c>
      <c r="F9" s="154">
        <v>484780.28</v>
      </c>
      <c r="G9" s="148">
        <f>F9-E9</f>
        <v>3540.280000000028</v>
      </c>
      <c r="H9" s="155">
        <f>F9/E9*100</f>
        <v>100.73565788380019</v>
      </c>
      <c r="I9" s="156">
        <f t="shared" si="0"/>
        <v>-281864.72</v>
      </c>
      <c r="J9" s="156">
        <f t="shared" si="1"/>
        <v>63.23399748253755</v>
      </c>
      <c r="K9" s="225">
        <v>339918.36</v>
      </c>
      <c r="L9" s="157">
        <f t="shared" si="2"/>
        <v>144861.92000000004</v>
      </c>
      <c r="M9" s="204">
        <f t="shared" si="3"/>
        <v>1.426166800757688</v>
      </c>
      <c r="N9" s="155">
        <f>E9-липень!E9</f>
        <v>64700</v>
      </c>
      <c r="O9" s="158">
        <f>F9-липень!F9</f>
        <v>65137.23000000004</v>
      </c>
      <c r="P9" s="159">
        <f>O9-N9</f>
        <v>437.2300000000396</v>
      </c>
      <c r="Q9" s="156">
        <f t="shared" si="4"/>
        <v>100.67578052550239</v>
      </c>
      <c r="R9" s="99">
        <v>71000</v>
      </c>
      <c r="S9" s="99">
        <f>O9-R9</f>
        <v>-5862.76999999996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437902</v>
      </c>
      <c r="F10" s="138">
        <v>443777.53</v>
      </c>
      <c r="G10" s="102">
        <f aca="true" t="shared" si="5" ref="G10:G35">F10-E10</f>
        <v>5875.530000000028</v>
      </c>
      <c r="H10" s="104">
        <f aca="true" t="shared" si="6" ref="H10:H15">F10/E10*100</f>
        <v>101.34174541335734</v>
      </c>
      <c r="I10" s="103">
        <f t="shared" si="0"/>
        <v>-257539.46999999997</v>
      </c>
      <c r="J10" s="103">
        <f t="shared" si="1"/>
        <v>63.2777374568134</v>
      </c>
      <c r="K10" s="105">
        <v>298673.41</v>
      </c>
      <c r="L10" s="105">
        <f t="shared" si="2"/>
        <v>145104.12000000005</v>
      </c>
      <c r="M10" s="205">
        <f t="shared" si="3"/>
        <v>1.4858287183984675</v>
      </c>
      <c r="N10" s="104">
        <f>E10-липень!E10</f>
        <v>59294</v>
      </c>
      <c r="O10" s="142">
        <f>F10-липень!F10</f>
        <v>59693.27000000002</v>
      </c>
      <c r="P10" s="105">
        <f aca="true" t="shared" si="7" ref="P10:P35">O10-N10</f>
        <v>399.2700000000186</v>
      </c>
      <c r="Q10" s="103">
        <f t="shared" si="4"/>
        <v>100.67337335986781</v>
      </c>
      <c r="R10" s="36"/>
      <c r="S10" s="99">
        <f>#N/A</f>
        <v>0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30180</v>
      </c>
      <c r="F11" s="138">
        <v>26169.54</v>
      </c>
      <c r="G11" s="102">
        <f t="shared" si="5"/>
        <v>-4010.459999999999</v>
      </c>
      <c r="H11" s="104">
        <f t="shared" si="6"/>
        <v>86.71153081510936</v>
      </c>
      <c r="I11" s="103">
        <f t="shared" si="0"/>
        <v>-20336.46</v>
      </c>
      <c r="J11" s="103">
        <f t="shared" si="1"/>
        <v>56.271319829699394</v>
      </c>
      <c r="K11" s="105">
        <v>24998.93</v>
      </c>
      <c r="L11" s="105">
        <f t="shared" si="2"/>
        <v>1170.6100000000006</v>
      </c>
      <c r="M11" s="205">
        <f t="shared" si="3"/>
        <v>1.0468264041700985</v>
      </c>
      <c r="N11" s="104">
        <f>E11-липень!E11</f>
        <v>3900</v>
      </c>
      <c r="O11" s="142">
        <f>F11-липень!F11</f>
        <v>3540.459999999999</v>
      </c>
      <c r="P11" s="105">
        <f t="shared" si="7"/>
        <v>-359.5400000000009</v>
      </c>
      <c r="Q11" s="103">
        <f t="shared" si="4"/>
        <v>90.78102564102562</v>
      </c>
      <c r="R11" s="36"/>
      <c r="S11" s="99">
        <f>#N/A</f>
        <v>0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5280</v>
      </c>
      <c r="F12" s="138">
        <v>6628.28</v>
      </c>
      <c r="G12" s="102">
        <f t="shared" si="5"/>
        <v>1348.2799999999997</v>
      </c>
      <c r="H12" s="104">
        <f t="shared" si="6"/>
        <v>125.53560606060606</v>
      </c>
      <c r="I12" s="103">
        <f t="shared" si="0"/>
        <v>-1651.7200000000003</v>
      </c>
      <c r="J12" s="103">
        <f t="shared" si="1"/>
        <v>80.05169082125605</v>
      </c>
      <c r="K12" s="105">
        <v>6686.39</v>
      </c>
      <c r="L12" s="105">
        <f t="shared" si="2"/>
        <v>-58.11000000000058</v>
      </c>
      <c r="M12" s="205">
        <f t="shared" si="3"/>
        <v>0.9913092116971938</v>
      </c>
      <c r="N12" s="104">
        <f>E12-липень!E12</f>
        <v>840</v>
      </c>
      <c r="O12" s="142">
        <f>F12-липень!F12</f>
        <v>1156.3499999999995</v>
      </c>
      <c r="P12" s="105">
        <f t="shared" si="7"/>
        <v>316.34999999999945</v>
      </c>
      <c r="Q12" s="103">
        <f t="shared" si="4"/>
        <v>137.66071428571422</v>
      </c>
      <c r="R12" s="36"/>
      <c r="S12" s="99">
        <f>#N/A</f>
        <v>0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7110</v>
      </c>
      <c r="F13" s="138">
        <v>7275.46</v>
      </c>
      <c r="G13" s="102">
        <f t="shared" si="5"/>
        <v>165.46000000000004</v>
      </c>
      <c r="H13" s="104">
        <f t="shared" si="6"/>
        <v>102.32714486638537</v>
      </c>
      <c r="I13" s="103">
        <f t="shared" si="0"/>
        <v>-2114.54</v>
      </c>
      <c r="J13" s="103">
        <f t="shared" si="1"/>
        <v>77.48093716719914</v>
      </c>
      <c r="K13" s="105">
        <v>7017.25</v>
      </c>
      <c r="L13" s="105">
        <f t="shared" si="2"/>
        <v>258.21000000000004</v>
      </c>
      <c r="M13" s="205">
        <f t="shared" si="3"/>
        <v>1.0367964658520075</v>
      </c>
      <c r="N13" s="104">
        <f>E13-липень!E13</f>
        <v>570</v>
      </c>
      <c r="O13" s="142">
        <f>F13-липень!F13</f>
        <v>638.5200000000004</v>
      </c>
      <c r="P13" s="105">
        <f t="shared" si="7"/>
        <v>68.52000000000044</v>
      </c>
      <c r="Q13" s="103">
        <f t="shared" si="4"/>
        <v>112.02105263157902</v>
      </c>
      <c r="R13" s="36"/>
      <c r="S13" s="99">
        <f>#N/A</f>
        <v>0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768</v>
      </c>
      <c r="F14" s="138">
        <v>929.47</v>
      </c>
      <c r="G14" s="102">
        <f t="shared" si="5"/>
        <v>161.47000000000003</v>
      </c>
      <c r="H14" s="104">
        <f t="shared" si="6"/>
        <v>121.02473958333333</v>
      </c>
      <c r="I14" s="103">
        <f t="shared" si="0"/>
        <v>-222.52999999999997</v>
      </c>
      <c r="J14" s="103">
        <f t="shared" si="1"/>
        <v>80.68315972222221</v>
      </c>
      <c r="K14" s="105">
        <v>2542.38</v>
      </c>
      <c r="L14" s="105">
        <f t="shared" si="2"/>
        <v>-1612.91</v>
      </c>
      <c r="M14" s="205">
        <f t="shared" si="3"/>
        <v>0.36559050967990625</v>
      </c>
      <c r="N14" s="104">
        <f>E14-липень!E14</f>
        <v>96</v>
      </c>
      <c r="O14" s="142">
        <f>F14-липень!F14</f>
        <v>108.63999999999999</v>
      </c>
      <c r="P14" s="105">
        <f t="shared" si="7"/>
        <v>12.639999999999986</v>
      </c>
      <c r="Q14" s="103">
        <f t="shared" si="4"/>
        <v>113.16666666666666</v>
      </c>
      <c r="R14" s="36"/>
      <c r="S14" s="99">
        <f>#N/A</f>
        <v>0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f>341+110</f>
        <v>451</v>
      </c>
      <c r="F15" s="154">
        <v>325.81</v>
      </c>
      <c r="G15" s="148">
        <f t="shared" si="5"/>
        <v>-125.19</v>
      </c>
      <c r="H15" s="155">
        <f t="shared" si="6"/>
        <v>72.24168514412416</v>
      </c>
      <c r="I15" s="156">
        <f t="shared" si="0"/>
        <v>-225.19</v>
      </c>
      <c r="J15" s="156">
        <f t="shared" si="1"/>
        <v>59.13067150635209</v>
      </c>
      <c r="K15" s="159">
        <v>385.26</v>
      </c>
      <c r="L15" s="159">
        <f t="shared" si="2"/>
        <v>-59.44999999999999</v>
      </c>
      <c r="M15" s="206">
        <f t="shared" si="3"/>
        <v>0.8456886258630536</v>
      </c>
      <c r="N15" s="155">
        <f>E15-липень!E15</f>
        <v>110</v>
      </c>
      <c r="O15" s="158">
        <f>F15-липень!F15</f>
        <v>280.82</v>
      </c>
      <c r="P15" s="159">
        <f t="shared" si="7"/>
        <v>170.82</v>
      </c>
      <c r="Q15" s="156">
        <f t="shared" si="4"/>
        <v>255.2909090909091</v>
      </c>
      <c r="R15" s="36">
        <v>0</v>
      </c>
      <c r="S15" s="99">
        <f>#N/A</f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148">
        <f t="shared" si="5"/>
        <v>0</v>
      </c>
      <c r="H16" s="155" t="e">
        <f>F16/E16/100</f>
        <v>#DIV/0!</v>
      </c>
      <c r="I16" s="156">
        <f aca="true" t="shared" si="8" ref="I16:I39">F16-D16</f>
        <v>0</v>
      </c>
      <c r="J16" s="156" t="e">
        <f aca="true" t="shared" si="9" ref="J16:J39">F16/D16*100</f>
        <v>#DIV/0!</v>
      </c>
      <c r="K16" s="105">
        <v>0</v>
      </c>
      <c r="L16" s="159">
        <f t="shared" si="2"/>
        <v>0</v>
      </c>
      <c r="M16" s="206" t="e">
        <f t="shared" si="3"/>
        <v>#DIV/0!</v>
      </c>
      <c r="N16" s="155">
        <f>E16-липень!E16</f>
        <v>0</v>
      </c>
      <c r="O16" s="158">
        <f>F16-липень!F16</f>
        <v>0</v>
      </c>
      <c r="P16" s="159">
        <f t="shared" si="7"/>
        <v>0</v>
      </c>
      <c r="Q16" s="156" t="e">
        <f t="shared" si="4"/>
        <v>#DIV/0!</v>
      </c>
      <c r="R16" s="103">
        <f>O16-358.81</f>
        <v>-358.81</v>
      </c>
      <c r="S16" s="99">
        <f>#N/A</f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48">
        <f t="shared" si="5"/>
        <v>0.49</v>
      </c>
      <c r="H17" s="155"/>
      <c r="I17" s="156">
        <f t="shared" si="8"/>
        <v>0.49</v>
      </c>
      <c r="J17" s="156"/>
      <c r="K17" s="165">
        <v>0.17</v>
      </c>
      <c r="L17" s="159">
        <f t="shared" si="2"/>
        <v>0.31999999999999995</v>
      </c>
      <c r="M17" s="206">
        <f t="shared" si="3"/>
        <v>2.88235294117647</v>
      </c>
      <c r="N17" s="155">
        <f>E17-липень!E17</f>
        <v>0</v>
      </c>
      <c r="O17" s="158">
        <f>F17-липень!F17</f>
        <v>0</v>
      </c>
      <c r="P17" s="159">
        <f t="shared" si="7"/>
        <v>0</v>
      </c>
      <c r="Q17" s="156"/>
      <c r="R17" s="103"/>
      <c r="S17" s="99">
        <f>#N/A</f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90</v>
      </c>
      <c r="F18" s="154">
        <v>147.46</v>
      </c>
      <c r="G18" s="148">
        <f t="shared" si="5"/>
        <v>57.46000000000001</v>
      </c>
      <c r="H18" s="155">
        <f>F18/E18*100</f>
        <v>163.84444444444446</v>
      </c>
      <c r="I18" s="156">
        <f t="shared" si="8"/>
        <v>22.460000000000008</v>
      </c>
      <c r="J18" s="156">
        <f t="shared" si="9"/>
        <v>117.968</v>
      </c>
      <c r="K18" s="159">
        <v>105.8</v>
      </c>
      <c r="L18" s="159">
        <f t="shared" si="2"/>
        <v>41.66000000000001</v>
      </c>
      <c r="M18" s="206">
        <f t="shared" si="3"/>
        <v>1.3937618147448017</v>
      </c>
      <c r="N18" s="155">
        <f>E18-липень!E18</f>
        <v>20</v>
      </c>
      <c r="O18" s="158">
        <f>F18-липень!F18</f>
        <v>29.000000000000014</v>
      </c>
      <c r="P18" s="159">
        <f t="shared" si="7"/>
        <v>9.000000000000014</v>
      </c>
      <c r="Q18" s="156">
        <f aca="true" t="shared" si="10" ref="Q18:Q24">O18/N18*100</f>
        <v>145.00000000000006</v>
      </c>
      <c r="R18" s="36">
        <v>0</v>
      </c>
      <c r="S18" s="99">
        <f>#N/A</f>
        <v>29.040000000000006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83000</v>
      </c>
      <c r="F19" s="221">
        <v>64718.53</v>
      </c>
      <c r="G19" s="148">
        <f t="shared" si="5"/>
        <v>-18281.47</v>
      </c>
      <c r="H19" s="155">
        <f aca="true" t="shared" si="11" ref="H19:H39">F19/E19*100</f>
        <v>77.97413253012047</v>
      </c>
      <c r="I19" s="156">
        <f t="shared" si="8"/>
        <v>-65281.47</v>
      </c>
      <c r="J19" s="156">
        <f t="shared" si="9"/>
        <v>49.783484615384616</v>
      </c>
      <c r="K19" s="159">
        <v>64436.28</v>
      </c>
      <c r="L19" s="159">
        <f t="shared" si="2"/>
        <v>282.25</v>
      </c>
      <c r="M19" s="211">
        <f t="shared" si="3"/>
        <v>1.0043802963175403</v>
      </c>
      <c r="N19" s="155">
        <f>E19-липень!E19</f>
        <v>11900</v>
      </c>
      <c r="O19" s="158">
        <f>F19-липень!F19</f>
        <v>5318.199999999997</v>
      </c>
      <c r="P19" s="159">
        <f t="shared" si="7"/>
        <v>-6581.800000000003</v>
      </c>
      <c r="Q19" s="156">
        <f t="shared" si="10"/>
        <v>44.69075630252098</v>
      </c>
      <c r="R19" s="291">
        <v>8800</v>
      </c>
      <c r="S19" s="99">
        <f>#N/A</f>
        <v>-8791.630000000005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f>42450+6950</f>
        <v>49400</v>
      </c>
      <c r="F20" s="199">
        <v>41666.15</v>
      </c>
      <c r="G20" s="250">
        <f t="shared" si="5"/>
        <v>-7733.8499999999985</v>
      </c>
      <c r="H20" s="193">
        <f t="shared" si="11"/>
        <v>84.34443319838057</v>
      </c>
      <c r="I20" s="251">
        <f t="shared" si="8"/>
        <v>-34833.85</v>
      </c>
      <c r="J20" s="251">
        <f t="shared" si="9"/>
        <v>54.465555555555554</v>
      </c>
      <c r="K20" s="164">
        <v>64436.28</v>
      </c>
      <c r="L20" s="164">
        <f t="shared" si="2"/>
        <v>-22770.129999999997</v>
      </c>
      <c r="M20" s="253">
        <f t="shared" si="3"/>
        <v>0.6466256276743475</v>
      </c>
      <c r="N20" s="193">
        <f>E20-липень!E20</f>
        <v>6950</v>
      </c>
      <c r="O20" s="177">
        <f>F20-липень!F20</f>
        <v>5318.190000000002</v>
      </c>
      <c r="P20" s="164">
        <f t="shared" si="7"/>
        <v>-1631.8099999999977</v>
      </c>
      <c r="Q20" s="251">
        <f t="shared" si="10"/>
        <v>76.52071942446047</v>
      </c>
      <c r="R20" s="103">
        <v>4450</v>
      </c>
      <c r="S20" s="103">
        <f>#N/A</f>
        <v>-4441.699999999997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f>5850+950</f>
        <v>6800</v>
      </c>
      <c r="F21" s="199">
        <v>4942.32</v>
      </c>
      <c r="G21" s="250">
        <f t="shared" si="5"/>
        <v>-1857.6800000000003</v>
      </c>
      <c r="H21" s="193">
        <f t="shared" si="11"/>
        <v>72.68117647058823</v>
      </c>
      <c r="I21" s="251">
        <f t="shared" si="8"/>
        <v>-5757.68</v>
      </c>
      <c r="J21" s="251">
        <f t="shared" si="9"/>
        <v>46.18990654205607</v>
      </c>
      <c r="K21" s="252">
        <v>0</v>
      </c>
      <c r="L21" s="164">
        <f t="shared" si="2"/>
        <v>4942.32</v>
      </c>
      <c r="M21" s="253"/>
      <c r="N21" s="193">
        <f>E21-липень!E21</f>
        <v>950</v>
      </c>
      <c r="O21" s="177">
        <f>F21-липень!F21</f>
        <v>0</v>
      </c>
      <c r="P21" s="164">
        <f t="shared" si="7"/>
        <v>-950</v>
      </c>
      <c r="Q21" s="251">
        <f t="shared" si="10"/>
        <v>0</v>
      </c>
      <c r="R21" s="103">
        <v>900</v>
      </c>
      <c r="S21" s="103">
        <f>#N/A</f>
        <v>-900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f>22800+4000</f>
        <v>26800</v>
      </c>
      <c r="F22" s="199">
        <v>18110.05</v>
      </c>
      <c r="G22" s="250">
        <f t="shared" si="5"/>
        <v>-8689.95</v>
      </c>
      <c r="H22" s="193">
        <f t="shared" si="11"/>
        <v>67.57481343283582</v>
      </c>
      <c r="I22" s="251">
        <f t="shared" si="8"/>
        <v>-24689.95</v>
      </c>
      <c r="J22" s="251">
        <f t="shared" si="9"/>
        <v>42.313200934579434</v>
      </c>
      <c r="K22" s="252">
        <v>0</v>
      </c>
      <c r="L22" s="164">
        <f t="shared" si="2"/>
        <v>18110.05</v>
      </c>
      <c r="M22" s="253"/>
      <c r="N22" s="193">
        <f>E22-липень!E22</f>
        <v>4000</v>
      </c>
      <c r="O22" s="177">
        <f>F22-липень!F22</f>
        <v>0</v>
      </c>
      <c r="P22" s="164">
        <f t="shared" si="7"/>
        <v>-4000</v>
      </c>
      <c r="Q22" s="251">
        <f t="shared" si="10"/>
        <v>0</v>
      </c>
      <c r="R22" s="103">
        <v>3800</v>
      </c>
      <c r="S22" s="103">
        <f>#N/A</f>
        <v>-3800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281030.2</v>
      </c>
      <c r="F23" s="221">
        <f>F24+F32+F33+F34+F35</f>
        <v>288100.91000000003</v>
      </c>
      <c r="G23" s="148">
        <f t="shared" si="5"/>
        <v>7070.710000000021</v>
      </c>
      <c r="H23" s="155">
        <f t="shared" si="11"/>
        <v>102.51599650144362</v>
      </c>
      <c r="I23" s="156">
        <f t="shared" si="8"/>
        <v>-113029.18999999994</v>
      </c>
      <c r="J23" s="156">
        <f t="shared" si="9"/>
        <v>71.82231151439396</v>
      </c>
      <c r="K23" s="156">
        <v>228674.96</v>
      </c>
      <c r="L23" s="159">
        <f t="shared" si="2"/>
        <v>59425.95000000004</v>
      </c>
      <c r="M23" s="207">
        <f aca="true" t="shared" si="12" ref="M23:M31">F23/K23</f>
        <v>1.2598708227608306</v>
      </c>
      <c r="N23" s="155">
        <f>E23-липень!E23</f>
        <v>41741</v>
      </c>
      <c r="O23" s="158">
        <f>F23-липень!F23</f>
        <v>41735.18000000005</v>
      </c>
      <c r="P23" s="159">
        <f t="shared" si="7"/>
        <v>-5.819999999948777</v>
      </c>
      <c r="Q23" s="156">
        <f t="shared" si="10"/>
        <v>99.98605687453596</v>
      </c>
      <c r="R23" s="285">
        <f>R24+R33+R35</f>
        <v>22714</v>
      </c>
      <c r="S23" s="291">
        <f>#N/A</f>
        <v>-19726.22999999998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137545.9</v>
      </c>
      <c r="F24" s="221">
        <f>F25+F28+F29</f>
        <v>137155.66</v>
      </c>
      <c r="G24" s="148">
        <f t="shared" si="5"/>
        <v>-390.2399999999907</v>
      </c>
      <c r="H24" s="155">
        <f t="shared" si="11"/>
        <v>99.71628380053495</v>
      </c>
      <c r="I24" s="156">
        <f t="shared" si="8"/>
        <v>-69465.34</v>
      </c>
      <c r="J24" s="156">
        <f t="shared" si="9"/>
        <v>66.38030984265878</v>
      </c>
      <c r="K24" s="156">
        <v>121679.97</v>
      </c>
      <c r="L24" s="159">
        <f t="shared" si="2"/>
        <v>15475.690000000002</v>
      </c>
      <c r="M24" s="207">
        <f t="shared" si="12"/>
        <v>1.1271835454923271</v>
      </c>
      <c r="N24" s="155">
        <f>E24-липень!E24</f>
        <v>17475</v>
      </c>
      <c r="O24" s="158">
        <f>F24-липень!F24</f>
        <v>16520.61</v>
      </c>
      <c r="P24" s="159">
        <f t="shared" si="7"/>
        <v>-954.3899999999994</v>
      </c>
      <c r="Q24" s="156">
        <f t="shared" si="10"/>
        <v>94.53854077253219</v>
      </c>
      <c r="R24" s="290">
        <f>R25+R28+R29</f>
        <v>15007</v>
      </c>
      <c r="S24" s="290">
        <f>#N/A</f>
        <v>-14366.600000000006</v>
      </c>
    </row>
    <row r="25" spans="1:19" s="6" customFormat="1" ht="18">
      <c r="A25" s="8"/>
      <c r="B25" s="49" t="s">
        <v>74</v>
      </c>
      <c r="C25" s="122"/>
      <c r="D25" s="250">
        <v>22809</v>
      </c>
      <c r="E25" s="300">
        <v>16354.1</v>
      </c>
      <c r="F25" s="199">
        <v>16900.15</v>
      </c>
      <c r="G25" s="250">
        <f t="shared" si="5"/>
        <v>546.0500000000011</v>
      </c>
      <c r="H25" s="193">
        <f t="shared" si="11"/>
        <v>103.33891806947494</v>
      </c>
      <c r="I25" s="251">
        <f t="shared" si="8"/>
        <v>-5908.8499999999985</v>
      </c>
      <c r="J25" s="251">
        <f t="shared" si="9"/>
        <v>74.0942171949669</v>
      </c>
      <c r="K25" s="301">
        <v>14873.47</v>
      </c>
      <c r="L25" s="164">
        <f t="shared" si="2"/>
        <v>2026.680000000002</v>
      </c>
      <c r="M25" s="213">
        <f t="shared" si="12"/>
        <v>1.1362614104173405</v>
      </c>
      <c r="N25" s="193">
        <f>E25-липень!E25</f>
        <v>1155</v>
      </c>
      <c r="O25" s="177">
        <f>F25-липень!F25</f>
        <v>1037.7900000000009</v>
      </c>
      <c r="P25" s="164">
        <f t="shared" si="7"/>
        <v>-117.20999999999913</v>
      </c>
      <c r="Q25" s="251">
        <f aca="true" t="shared" si="13" ref="Q25:Q35">O25/N25*100</f>
        <v>89.85194805194813</v>
      </c>
      <c r="R25" s="103">
        <v>800</v>
      </c>
      <c r="S25" s="103">
        <f>#N/A</f>
        <v>-684.5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295">
        <v>1265</v>
      </c>
      <c r="F26" s="197">
        <v>822.95</v>
      </c>
      <c r="G26" s="221">
        <f t="shared" si="5"/>
        <v>-442.04999999999995</v>
      </c>
      <c r="H26" s="234">
        <f t="shared" si="11"/>
        <v>65.05533596837945</v>
      </c>
      <c r="I26" s="296">
        <f t="shared" si="8"/>
        <v>-999.3499999999999</v>
      </c>
      <c r="J26" s="296">
        <f t="shared" si="9"/>
        <v>45.15996268451957</v>
      </c>
      <c r="K26" s="198">
        <v>623.64</v>
      </c>
      <c r="L26" s="198">
        <f>K26-F26</f>
        <v>-199.31000000000006</v>
      </c>
      <c r="M26" s="226">
        <f t="shared" si="12"/>
        <v>1.3195914309537555</v>
      </c>
      <c r="N26" s="234">
        <f>E26-липень!E26</f>
        <v>105</v>
      </c>
      <c r="O26" s="234">
        <f>F26-липень!F26</f>
        <v>386.32000000000005</v>
      </c>
      <c r="P26" s="296">
        <f t="shared" si="7"/>
        <v>281.32000000000005</v>
      </c>
      <c r="Q26" s="296">
        <f t="shared" si="13"/>
        <v>367.9238095238096</v>
      </c>
      <c r="R26" s="103"/>
      <c r="S26" s="103">
        <f>#N/A</f>
        <v>0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295">
        <v>15089.1</v>
      </c>
      <c r="F27" s="197">
        <v>16077.21</v>
      </c>
      <c r="G27" s="221">
        <f t="shared" si="5"/>
        <v>988.1099999999988</v>
      </c>
      <c r="H27" s="234">
        <f t="shared" si="11"/>
        <v>106.54850189872158</v>
      </c>
      <c r="I27" s="296">
        <f t="shared" si="8"/>
        <v>-4909.490000000002</v>
      </c>
      <c r="J27" s="296">
        <f t="shared" si="9"/>
        <v>76.60666040873505</v>
      </c>
      <c r="K27" s="198">
        <v>14249.83</v>
      </c>
      <c r="L27" s="198">
        <f>K27-F27</f>
        <v>-1827.3799999999992</v>
      </c>
      <c r="M27" s="226">
        <f t="shared" si="12"/>
        <v>1.1282387228479216</v>
      </c>
      <c r="N27" s="234">
        <f>E27-липень!E27</f>
        <v>1050</v>
      </c>
      <c r="O27" s="234">
        <f>F27-липень!F27</f>
        <v>651.4799999999996</v>
      </c>
      <c r="P27" s="296">
        <f t="shared" si="7"/>
        <v>-398.52000000000044</v>
      </c>
      <c r="Q27" s="296">
        <f t="shared" si="13"/>
        <v>62.04571428571425</v>
      </c>
      <c r="R27" s="103"/>
      <c r="S27" s="103">
        <f>#N/A</f>
        <v>0</v>
      </c>
    </row>
    <row r="28" spans="1:19" s="6" customFormat="1" ht="18">
      <c r="A28" s="8"/>
      <c r="B28" s="49" t="s">
        <v>75</v>
      </c>
      <c r="C28" s="122"/>
      <c r="D28" s="169">
        <v>820</v>
      </c>
      <c r="E28" s="294">
        <v>361.8</v>
      </c>
      <c r="F28" s="170">
        <v>-5.5</v>
      </c>
      <c r="G28" s="250">
        <f t="shared" si="5"/>
        <v>-367.3</v>
      </c>
      <c r="H28" s="193">
        <f t="shared" si="11"/>
        <v>-1.5201768933112216</v>
      </c>
      <c r="I28" s="251">
        <f t="shared" si="8"/>
        <v>-825.5</v>
      </c>
      <c r="J28" s="251">
        <f t="shared" si="9"/>
        <v>-0.6707317073170732</v>
      </c>
      <c r="K28" s="172">
        <v>669.01</v>
      </c>
      <c r="L28" s="172">
        <f aca="true" t="shared" si="14" ref="L28:L39">F28-K28</f>
        <v>-674.51</v>
      </c>
      <c r="M28" s="210">
        <f t="shared" si="12"/>
        <v>-0.008221102823575133</v>
      </c>
      <c r="N28" s="193">
        <f>E28-липень!E28</f>
        <v>105</v>
      </c>
      <c r="O28" s="177">
        <f>F28-липень!F28</f>
        <v>35.31</v>
      </c>
      <c r="P28" s="164">
        <f t="shared" si="7"/>
        <v>-69.69</v>
      </c>
      <c r="Q28" s="251">
        <f t="shared" si="13"/>
        <v>33.62857142857143</v>
      </c>
      <c r="R28" s="103">
        <v>-25</v>
      </c>
      <c r="S28" s="103">
        <f>#N/A</f>
        <v>25</v>
      </c>
    </row>
    <row r="29" spans="1:19" s="6" customFormat="1" ht="18">
      <c r="A29" s="8"/>
      <c r="B29" s="49" t="s">
        <v>76</v>
      </c>
      <c r="C29" s="122"/>
      <c r="D29" s="169">
        <v>182992</v>
      </c>
      <c r="E29" s="294">
        <v>120830</v>
      </c>
      <c r="F29" s="170">
        <v>120261.01</v>
      </c>
      <c r="G29" s="148">
        <f t="shared" si="5"/>
        <v>-568.9900000000052</v>
      </c>
      <c r="H29" s="193">
        <f t="shared" si="11"/>
        <v>99.52909873375818</v>
      </c>
      <c r="I29" s="251">
        <f t="shared" si="8"/>
        <v>-62730.990000000005</v>
      </c>
      <c r="J29" s="251">
        <f t="shared" si="9"/>
        <v>65.71927188073795</v>
      </c>
      <c r="K29" s="173">
        <v>106137.5</v>
      </c>
      <c r="L29" s="173">
        <f t="shared" si="14"/>
        <v>14123.509999999995</v>
      </c>
      <c r="M29" s="209">
        <f t="shared" si="12"/>
        <v>1.1330680485219644</v>
      </c>
      <c r="N29" s="193">
        <f>E29-липень!E29</f>
        <v>16215</v>
      </c>
      <c r="O29" s="177">
        <f>F29-липень!F29</f>
        <v>15447.509999999995</v>
      </c>
      <c r="P29" s="164">
        <f t="shared" si="7"/>
        <v>-767.4900000000052</v>
      </c>
      <c r="Q29" s="251">
        <f t="shared" si="13"/>
        <v>95.26679000925066</v>
      </c>
      <c r="R29" s="103">
        <v>14232</v>
      </c>
      <c r="S29" s="103">
        <f>#N/A</f>
        <v>-13707.100000000006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38215</v>
      </c>
      <c r="F30" s="197">
        <v>40713.77</v>
      </c>
      <c r="G30" s="221">
        <f t="shared" si="5"/>
        <v>2498.769999999997</v>
      </c>
      <c r="H30" s="234">
        <f t="shared" si="11"/>
        <v>106.53871516420253</v>
      </c>
      <c r="I30" s="296">
        <f t="shared" si="8"/>
        <v>-16819.230000000003</v>
      </c>
      <c r="J30" s="296">
        <f t="shared" si="9"/>
        <v>70.7659430240036</v>
      </c>
      <c r="K30" s="198">
        <v>34037.82</v>
      </c>
      <c r="L30" s="198">
        <f t="shared" si="14"/>
        <v>6675.949999999997</v>
      </c>
      <c r="M30" s="226">
        <f t="shared" si="12"/>
        <v>1.1961333011338564</v>
      </c>
      <c r="N30" s="234">
        <f>E30-липень!E30</f>
        <v>5500</v>
      </c>
      <c r="O30" s="234">
        <f>F30-липень!F30</f>
        <v>4857.889999999999</v>
      </c>
      <c r="P30" s="296">
        <f t="shared" si="7"/>
        <v>-642.1100000000006</v>
      </c>
      <c r="Q30" s="296">
        <f t="shared" si="13"/>
        <v>88.32527272727272</v>
      </c>
      <c r="R30" s="106"/>
      <c r="S30" s="99">
        <f>#N/A</f>
        <v>0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82615</v>
      </c>
      <c r="F31" s="197">
        <v>79547.24</v>
      </c>
      <c r="G31" s="221">
        <f t="shared" si="5"/>
        <v>-3067.7599999999948</v>
      </c>
      <c r="H31" s="234">
        <f t="shared" si="11"/>
        <v>96.28667917448406</v>
      </c>
      <c r="I31" s="296">
        <f t="shared" si="8"/>
        <v>-45911.759999999995</v>
      </c>
      <c r="J31" s="296">
        <f t="shared" si="9"/>
        <v>63.40496895400092</v>
      </c>
      <c r="K31" s="198">
        <v>72099.67</v>
      </c>
      <c r="L31" s="198">
        <f t="shared" si="14"/>
        <v>7447.570000000007</v>
      </c>
      <c r="M31" s="226">
        <f t="shared" si="12"/>
        <v>1.103295479715788</v>
      </c>
      <c r="N31" s="234">
        <f>E31-липень!E31</f>
        <v>10715</v>
      </c>
      <c r="O31" s="234">
        <f>F31-липень!F31</f>
        <v>10589.62000000001</v>
      </c>
      <c r="P31" s="296">
        <f t="shared" si="7"/>
        <v>-125.3799999999901</v>
      </c>
      <c r="Q31" s="296">
        <f t="shared" si="13"/>
        <v>98.82986467568838</v>
      </c>
      <c r="R31" s="106"/>
      <c r="S31" s="99">
        <f>#N/A</f>
        <v>0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5"/>
        <v>0.2</v>
      </c>
      <c r="H32" s="155"/>
      <c r="I32" s="156">
        <f t="shared" si="8"/>
        <v>0.2</v>
      </c>
      <c r="J32" s="156"/>
      <c r="K32" s="165">
        <v>0.15</v>
      </c>
      <c r="L32" s="156">
        <f t="shared" si="14"/>
        <v>0.05000000000000002</v>
      </c>
      <c r="M32" s="208"/>
      <c r="N32" s="155">
        <f>E32-липень!E32</f>
        <v>0</v>
      </c>
      <c r="O32" s="158">
        <f>F32-липень!F32</f>
        <v>0</v>
      </c>
      <c r="P32" s="159">
        <f t="shared" si="7"/>
        <v>0</v>
      </c>
      <c r="Q32" s="156"/>
      <c r="R32" s="290"/>
      <c r="S32" s="290">
        <f>#N/A</f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f>55.6+16</f>
        <v>71.6</v>
      </c>
      <c r="F33" s="154">
        <v>114.06</v>
      </c>
      <c r="G33" s="148">
        <f t="shared" si="5"/>
        <v>42.46000000000001</v>
      </c>
      <c r="H33" s="155">
        <f t="shared" si="11"/>
        <v>159.30167597765364</v>
      </c>
      <c r="I33" s="156">
        <f t="shared" si="8"/>
        <v>-0.9399999999999977</v>
      </c>
      <c r="J33" s="156">
        <f t="shared" si="9"/>
        <v>99.18260869565218</v>
      </c>
      <c r="K33" s="156">
        <v>85.95</v>
      </c>
      <c r="L33" s="156">
        <f t="shared" si="14"/>
        <v>28.11</v>
      </c>
      <c r="M33" s="208">
        <f aca="true" t="shared" si="15" ref="M33:M42">F33/K33</f>
        <v>1.3270506108202442</v>
      </c>
      <c r="N33" s="155">
        <f>E33-липень!E33</f>
        <v>15.999999999999993</v>
      </c>
      <c r="O33" s="158">
        <f>F33-липень!F33</f>
        <v>27.61</v>
      </c>
      <c r="P33" s="159">
        <f t="shared" si="7"/>
        <v>11.610000000000007</v>
      </c>
      <c r="Q33" s="156">
        <f t="shared" si="13"/>
        <v>172.56250000000006</v>
      </c>
      <c r="R33" s="290">
        <v>7</v>
      </c>
      <c r="S33" s="290">
        <f>#N/A</f>
        <v>-5.8500000000000085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-38.21</v>
      </c>
      <c r="G34" s="148">
        <f t="shared" si="5"/>
        <v>-38.21</v>
      </c>
      <c r="H34" s="155"/>
      <c r="I34" s="156">
        <f t="shared" si="8"/>
        <v>-38.21</v>
      </c>
      <c r="J34" s="156"/>
      <c r="K34" s="156">
        <v>-150.23</v>
      </c>
      <c r="L34" s="156">
        <f t="shared" si="14"/>
        <v>112.01999999999998</v>
      </c>
      <c r="M34" s="208">
        <f t="shared" si="15"/>
        <v>0.25434334021167543</v>
      </c>
      <c r="N34" s="155">
        <f>E34-липень!E34</f>
        <v>0</v>
      </c>
      <c r="O34" s="158">
        <f>F34-липень!F34</f>
        <v>-3.289999999999999</v>
      </c>
      <c r="P34" s="159">
        <f t="shared" si="7"/>
        <v>-3.289999999999999</v>
      </c>
      <c r="Q34" s="156"/>
      <c r="R34" s="290"/>
      <c r="S34" s="290">
        <f>#N/A</f>
        <v>0.6200000000000045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f>119162.7+24250</f>
        <v>143412.7</v>
      </c>
      <c r="F35" s="161">
        <v>150869.2</v>
      </c>
      <c r="G35" s="148">
        <f t="shared" si="5"/>
        <v>7456.5</v>
      </c>
      <c r="H35" s="155">
        <f t="shared" si="11"/>
        <v>105.19933032430183</v>
      </c>
      <c r="I35" s="156">
        <f t="shared" si="8"/>
        <v>-43524.899999999994</v>
      </c>
      <c r="J35" s="156">
        <f t="shared" si="9"/>
        <v>77.60996861530262</v>
      </c>
      <c r="K35" s="176">
        <v>107059.12</v>
      </c>
      <c r="L35" s="176">
        <f t="shared" si="14"/>
        <v>43810.080000000016</v>
      </c>
      <c r="M35" s="224">
        <f t="shared" si="15"/>
        <v>1.4092138997593107</v>
      </c>
      <c r="N35" s="155">
        <f>E35-липень!E35</f>
        <v>24250.000000000015</v>
      </c>
      <c r="O35" s="158">
        <f>F35-липень!F35</f>
        <v>25190.250000000015</v>
      </c>
      <c r="P35" s="159">
        <f t="shared" si="7"/>
        <v>940.25</v>
      </c>
      <c r="Q35" s="156">
        <f t="shared" si="13"/>
        <v>103.87731958762888</v>
      </c>
      <c r="R35" s="290">
        <v>7700</v>
      </c>
      <c r="S35" s="290">
        <f>#N/A</f>
        <v>-5354.399999999994</v>
      </c>
    </row>
    <row r="36" spans="1:19" s="6" customFormat="1" ht="15" customHeight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>F36-E36</f>
        <v>0.01</v>
      </c>
      <c r="H36" s="104"/>
      <c r="I36" s="103">
        <f t="shared" si="8"/>
        <v>0.01</v>
      </c>
      <c r="J36" s="103"/>
      <c r="K36" s="126">
        <v>0.23</v>
      </c>
      <c r="L36" s="126">
        <f t="shared" si="14"/>
        <v>-0.22</v>
      </c>
      <c r="M36" s="214">
        <f t="shared" si="15"/>
        <v>0.043478260869565216</v>
      </c>
      <c r="N36" s="104">
        <f>E36-липень!E36</f>
        <v>0</v>
      </c>
      <c r="O36" s="142">
        <f>F36-липень!F36</f>
        <v>0</v>
      </c>
      <c r="P36" s="105">
        <f>O36-N36</f>
        <v>0</v>
      </c>
      <c r="Q36" s="103"/>
      <c r="R36" s="106"/>
      <c r="S36" s="106"/>
    </row>
    <row r="37" spans="1:19" s="6" customFormat="1" ht="15" customHeight="1">
      <c r="A37" s="8"/>
      <c r="B37" s="49" t="s">
        <v>91</v>
      </c>
      <c r="C37" s="101">
        <v>18050300</v>
      </c>
      <c r="D37" s="102">
        <v>41000</v>
      </c>
      <c r="E37" s="102">
        <v>29520</v>
      </c>
      <c r="F37" s="138">
        <v>30163.42</v>
      </c>
      <c r="G37" s="102">
        <f>F37-E37</f>
        <v>643.4199999999983</v>
      </c>
      <c r="H37" s="104">
        <f t="shared" si="11"/>
        <v>102.17960704607046</v>
      </c>
      <c r="I37" s="103">
        <f t="shared" si="8"/>
        <v>-10836.580000000002</v>
      </c>
      <c r="J37" s="103">
        <f t="shared" si="9"/>
        <v>73.56931707317072</v>
      </c>
      <c r="K37" s="126">
        <v>27383.08</v>
      </c>
      <c r="L37" s="126">
        <f t="shared" si="14"/>
        <v>2780.3399999999965</v>
      </c>
      <c r="M37" s="214">
        <f t="shared" si="15"/>
        <v>1.101534962465873</v>
      </c>
      <c r="N37" s="104">
        <f>E37-липень!E37</f>
        <v>6250</v>
      </c>
      <c r="O37" s="142">
        <f>F37-липень!F37</f>
        <v>6071.489999999998</v>
      </c>
      <c r="P37" s="105">
        <f>O37-N37</f>
        <v>-178.51000000000204</v>
      </c>
      <c r="Q37" s="103">
        <f>O37/N37*100</f>
        <v>97.14383999999997</v>
      </c>
      <c r="R37" s="106"/>
      <c r="S37" s="106"/>
    </row>
    <row r="38" spans="1:19" s="6" customFormat="1" ht="15" customHeight="1">
      <c r="A38" s="8"/>
      <c r="B38" s="49" t="s">
        <v>92</v>
      </c>
      <c r="C38" s="101">
        <v>18050400</v>
      </c>
      <c r="D38" s="102">
        <v>153339.1</v>
      </c>
      <c r="E38" s="102">
        <v>113860</v>
      </c>
      <c r="F38" s="138">
        <v>120675.69</v>
      </c>
      <c r="G38" s="102">
        <f>F38-E38</f>
        <v>6815.690000000002</v>
      </c>
      <c r="H38" s="104">
        <f t="shared" si="11"/>
        <v>105.98602669945546</v>
      </c>
      <c r="I38" s="103">
        <f t="shared" si="8"/>
        <v>-32663.410000000003</v>
      </c>
      <c r="J38" s="103">
        <f t="shared" si="9"/>
        <v>78.69857720568335</v>
      </c>
      <c r="K38" s="126">
        <v>79650.8</v>
      </c>
      <c r="L38" s="126">
        <f t="shared" si="14"/>
        <v>41024.89</v>
      </c>
      <c r="M38" s="214">
        <f t="shared" si="15"/>
        <v>1.5150593591024824</v>
      </c>
      <c r="N38" s="104">
        <f>E38-липень!E38</f>
        <v>18000</v>
      </c>
      <c r="O38" s="142">
        <f>F38-липень!F38</f>
        <v>19118.76000000001</v>
      </c>
      <c r="P38" s="105">
        <f>O38-N38</f>
        <v>1118.7600000000093</v>
      </c>
      <c r="Q38" s="103">
        <f>O38/N38*100</f>
        <v>106.21533333333339</v>
      </c>
      <c r="R38" s="106"/>
      <c r="S38" s="106"/>
    </row>
    <row r="39" spans="1:19" s="6" customFormat="1" ht="15" customHeight="1">
      <c r="A39" s="8"/>
      <c r="B39" s="49" t="s">
        <v>93</v>
      </c>
      <c r="C39" s="101">
        <v>18050500</v>
      </c>
      <c r="D39" s="102">
        <v>55</v>
      </c>
      <c r="E39" s="102">
        <v>32.7</v>
      </c>
      <c r="F39" s="138">
        <v>30.07</v>
      </c>
      <c r="G39" s="102">
        <f>F39-E39</f>
        <v>-2.6300000000000026</v>
      </c>
      <c r="H39" s="104">
        <f t="shared" si="11"/>
        <v>91.95718654434249</v>
      </c>
      <c r="I39" s="103">
        <f t="shared" si="8"/>
        <v>-24.93</v>
      </c>
      <c r="J39" s="103">
        <f t="shared" si="9"/>
        <v>54.67272727272727</v>
      </c>
      <c r="K39" s="126">
        <v>25</v>
      </c>
      <c r="L39" s="126">
        <f t="shared" si="14"/>
        <v>5.07</v>
      </c>
      <c r="M39" s="214">
        <f t="shared" si="15"/>
        <v>1.2028</v>
      </c>
      <c r="N39" s="104">
        <f>E39-липень!E39</f>
        <v>0</v>
      </c>
      <c r="O39" s="142">
        <f>F39-липень!F39</f>
        <v>0</v>
      </c>
      <c r="P39" s="105">
        <f>O39-N39</f>
        <v>0</v>
      </c>
      <c r="Q39" s="103" t="e">
        <f>O39/N39*100</f>
        <v>#DIV/0!</v>
      </c>
      <c r="R39" s="106"/>
      <c r="S39" s="106"/>
    </row>
    <row r="40" spans="1:19" s="6" customFormat="1" ht="15" customHeight="1">
      <c r="A40" s="8"/>
      <c r="B40" s="229"/>
      <c r="C40" s="42"/>
      <c r="D40" s="33">
        <v>0</v>
      </c>
      <c r="E40" s="33">
        <v>0</v>
      </c>
      <c r="F40" s="287">
        <v>0</v>
      </c>
      <c r="G40" s="102">
        <f>F40-E40</f>
        <v>0</v>
      </c>
      <c r="H40" s="155"/>
      <c r="I40" s="36">
        <f>#N/A</f>
        <v>0</v>
      </c>
      <c r="J40" s="36"/>
      <c r="K40" s="118">
        <v>0</v>
      </c>
      <c r="L40" s="118">
        <f>#N/A</f>
        <v>0</v>
      </c>
      <c r="M40" s="215" t="e">
        <f t="shared" si="15"/>
        <v>#DIV/0!</v>
      </c>
      <c r="N40" s="155">
        <v>0</v>
      </c>
      <c r="O40" s="158">
        <f>F40-липень!F40</f>
        <v>0</v>
      </c>
      <c r="P40" s="35">
        <f>O40-N40</f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D42+D43+D44+D45+D46+D48+D50+D51+D52+D53+D54+D59+D60+D64+D47+D49</f>
        <v>59025</v>
      </c>
      <c r="E41" s="149">
        <f>E42+E43+E44+E45+E46+E48+E50+E51+E52+E53+E54+E59+E60+E64+E47+E49</f>
        <v>40577.5</v>
      </c>
      <c r="F41" s="284">
        <f>F42+F43+F44+F45+F46+F48+F50+F51+F52+F53+F54+F59+F60+F64+F47+F49</f>
        <v>47414.899999999994</v>
      </c>
      <c r="G41" s="284">
        <f>G42+G43+G44+G45+G46+G48+G50+G51+G52+G53+G54+G59+G60+G64+G47+G49</f>
        <v>6837.4</v>
      </c>
      <c r="H41" s="284">
        <f>H42+H43+H44+H45+H46+H48+H50+H51+H52+H53+H54+H59+H60+H64+H47+H49</f>
        <v>6837.4</v>
      </c>
      <c r="I41" s="151">
        <f>F41-D41</f>
        <v>-11610.100000000006</v>
      </c>
      <c r="J41" s="151">
        <f>F41/D41*100</f>
        <v>80.33019906819143</v>
      </c>
      <c r="K41" s="284">
        <v>42988.26</v>
      </c>
      <c r="L41" s="149">
        <f>F41-K41</f>
        <v>4426.639999999992</v>
      </c>
      <c r="M41" s="203">
        <f t="shared" si="15"/>
        <v>1.1029732303656856</v>
      </c>
      <c r="N41" s="149">
        <f>N42+N43+N44+N45+N46+N48+N50+N51+N52+N53+N54+N59+N60+N64+N47+N49</f>
        <v>5383.8</v>
      </c>
      <c r="O41" s="284">
        <f>O42+O43+O44+O45+O46+O48+O50+O51+O52+O53+O54+O59+O60+O64+O47+O49</f>
        <v>6951.510000000001</v>
      </c>
      <c r="P41" s="149">
        <f>P42+P43+P44+P45+P46+P48+P50+P51+P52+P53+P54+P59+P60+P64</f>
        <v>1573.9100000000003</v>
      </c>
      <c r="Q41" s="149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f>260+220</f>
        <v>480</v>
      </c>
      <c r="F42" s="154">
        <v>3557.9</v>
      </c>
      <c r="G42" s="148">
        <f aca="true" t="shared" si="16" ref="G42:G66">F42-E42</f>
        <v>3077.9</v>
      </c>
      <c r="H42" s="162">
        <f>F42-E42</f>
        <v>3077.9</v>
      </c>
      <c r="I42" s="163">
        <f>F42-D42</f>
        <v>2977.9</v>
      </c>
      <c r="J42" s="163">
        <f>F42/D42*100</f>
        <v>613.4310344827586</v>
      </c>
      <c r="K42" s="163">
        <v>416.84</v>
      </c>
      <c r="L42" s="163">
        <f>F42-K42</f>
        <v>3141.06</v>
      </c>
      <c r="M42" s="216">
        <f t="shared" si="15"/>
        <v>8.535409269743788</v>
      </c>
      <c r="N42" s="155">
        <f>E42-липень!E42</f>
        <v>220</v>
      </c>
      <c r="O42" s="158">
        <f>F42-липень!F42</f>
        <v>1352.58</v>
      </c>
      <c r="P42" s="159">
        <f aca="true" t="shared" si="17" ref="P42:P66">O42-N42</f>
        <v>1132.58</v>
      </c>
      <c r="Q42" s="163">
        <f>O42/N42</f>
        <v>6.148090909090909</v>
      </c>
      <c r="R42" s="36">
        <v>0</v>
      </c>
      <c r="S42" s="36">
        <f>O42-R42</f>
        <v>1352.58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f>16500+2800</f>
        <v>19300</v>
      </c>
      <c r="F43" s="154">
        <v>18068.14</v>
      </c>
      <c r="G43" s="148">
        <f t="shared" si="16"/>
        <v>-1231.8600000000006</v>
      </c>
      <c r="H43" s="162">
        <f aca="true" t="shared" si="18" ref="H43:H66">F43-E43</f>
        <v>-1231.8600000000006</v>
      </c>
      <c r="I43" s="163">
        <f aca="true" t="shared" si="19" ref="I43:I66">F43-D43</f>
        <v>-11931.86</v>
      </c>
      <c r="J43" s="163">
        <f>F43/D43*100</f>
        <v>60.22713333333333</v>
      </c>
      <c r="K43" s="163">
        <v>20560.18</v>
      </c>
      <c r="L43" s="163">
        <f aca="true" t="shared" si="20" ref="L43:L66">F43-K43</f>
        <v>-2492.040000000001</v>
      </c>
      <c r="M43" s="216">
        <f aca="true" t="shared" si="21" ref="M43:M66">F43/K43</f>
        <v>0.878792889945516</v>
      </c>
      <c r="N43" s="155">
        <f>E43-липень!E43</f>
        <v>2800</v>
      </c>
      <c r="O43" s="158">
        <f>F43-липень!F43</f>
        <v>2175.51</v>
      </c>
      <c r="P43" s="159">
        <f t="shared" si="17"/>
        <v>-624.4899999999998</v>
      </c>
      <c r="Q43" s="163">
        <f aca="true" t="shared" si="22" ref="Q43:Q65">O43/N43</f>
        <v>0.7769678571428572</v>
      </c>
      <c r="R43" s="36">
        <v>2874.5</v>
      </c>
      <c r="S43" s="36">
        <f>#N/A</f>
        <v>-699.0300000000007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24</v>
      </c>
      <c r="F44" s="154">
        <v>123.3</v>
      </c>
      <c r="G44" s="148">
        <f t="shared" si="16"/>
        <v>99.3</v>
      </c>
      <c r="H44" s="162">
        <f t="shared" si="18"/>
        <v>99.3</v>
      </c>
      <c r="I44" s="163">
        <f t="shared" si="19"/>
        <v>83.3</v>
      </c>
      <c r="J44" s="163">
        <f aca="true" t="shared" si="23" ref="J44:J65">F44/D44*100</f>
        <v>308.25</v>
      </c>
      <c r="K44" s="163">
        <v>28.07</v>
      </c>
      <c r="L44" s="163">
        <f t="shared" si="20"/>
        <v>95.22999999999999</v>
      </c>
      <c r="M44" s="216">
        <f t="shared" si="21"/>
        <v>4.39258995368721</v>
      </c>
      <c r="N44" s="155">
        <f>E44-липень!E44</f>
        <v>1</v>
      </c>
      <c r="O44" s="158">
        <f>F44-липень!F44</f>
        <v>5</v>
      </c>
      <c r="P44" s="159">
        <f t="shared" si="17"/>
        <v>4</v>
      </c>
      <c r="Q44" s="163">
        <f t="shared" si="22"/>
        <v>5</v>
      </c>
      <c r="R44" s="36">
        <v>10</v>
      </c>
      <c r="S44" s="36">
        <f>#N/A</f>
        <v>-10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12.95</v>
      </c>
      <c r="G45" s="148">
        <f t="shared" si="16"/>
        <v>12.95</v>
      </c>
      <c r="H45" s="162">
        <f t="shared" si="18"/>
        <v>12.95</v>
      </c>
      <c r="I45" s="163">
        <f t="shared" si="19"/>
        <v>12.95</v>
      </c>
      <c r="J45" s="163"/>
      <c r="K45" s="163">
        <v>0.1</v>
      </c>
      <c r="L45" s="163">
        <f t="shared" si="20"/>
        <v>12.85</v>
      </c>
      <c r="M45" s="216"/>
      <c r="N45" s="155">
        <f>E45-липень!E45</f>
        <v>0</v>
      </c>
      <c r="O45" s="158">
        <f>F45-липень!F45</f>
        <v>2.16</v>
      </c>
      <c r="P45" s="159">
        <f t="shared" si="17"/>
        <v>2.16</v>
      </c>
      <c r="Q45" s="163"/>
      <c r="R45" s="36">
        <v>0</v>
      </c>
      <c r="S45" s="36">
        <f>#N/A</f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172</v>
      </c>
      <c r="F46" s="154">
        <v>599.15</v>
      </c>
      <c r="G46" s="148">
        <f t="shared" si="16"/>
        <v>427.15</v>
      </c>
      <c r="H46" s="162">
        <f t="shared" si="18"/>
        <v>427.15</v>
      </c>
      <c r="I46" s="163">
        <f t="shared" si="19"/>
        <v>339.15</v>
      </c>
      <c r="J46" s="163">
        <f t="shared" si="23"/>
        <v>230.44230769230768</v>
      </c>
      <c r="K46" s="163">
        <v>195.12</v>
      </c>
      <c r="L46" s="163">
        <f t="shared" si="20"/>
        <v>404.03</v>
      </c>
      <c r="M46" s="216">
        <f t="shared" si="21"/>
        <v>3.0706744567445674</v>
      </c>
      <c r="N46" s="155">
        <f>E46-липень!E46</f>
        <v>22</v>
      </c>
      <c r="O46" s="158">
        <f>F46-липень!F46</f>
        <v>53.559999999999945</v>
      </c>
      <c r="P46" s="159">
        <f t="shared" si="17"/>
        <v>31.559999999999945</v>
      </c>
      <c r="Q46" s="163">
        <f t="shared" si="22"/>
        <v>2.434545454545452</v>
      </c>
      <c r="R46" s="36">
        <v>70</v>
      </c>
      <c r="S46" s="36">
        <f>#N/A</f>
        <v>-51.39999999999998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f>61.2+6.8</f>
        <v>68</v>
      </c>
      <c r="F47" s="154">
        <v>71.63</v>
      </c>
      <c r="G47" s="148">
        <f t="shared" si="16"/>
        <v>3.6299999999999955</v>
      </c>
      <c r="H47" s="162">
        <f t="shared" si="18"/>
        <v>3.6299999999999955</v>
      </c>
      <c r="I47" s="163">
        <f t="shared" si="19"/>
        <v>-25.870000000000005</v>
      </c>
      <c r="J47" s="163">
        <f t="shared" si="23"/>
        <v>73.46666666666665</v>
      </c>
      <c r="K47" s="163">
        <v>41.15</v>
      </c>
      <c r="L47" s="163">
        <f t="shared" si="20"/>
        <v>30.479999999999997</v>
      </c>
      <c r="M47" s="216">
        <f t="shared" si="21"/>
        <v>1.7407047387606318</v>
      </c>
      <c r="N47" s="155">
        <f>E47-липень!E47</f>
        <v>6.799999999999997</v>
      </c>
      <c r="O47" s="158">
        <f>F47-липень!F47</f>
        <v>0.5999999999999943</v>
      </c>
      <c r="P47" s="159">
        <f t="shared" si="17"/>
        <v>-6.200000000000003</v>
      </c>
      <c r="Q47" s="163">
        <f t="shared" si="22"/>
        <v>0.08823529411764626</v>
      </c>
      <c r="R47" s="36">
        <v>0</v>
      </c>
      <c r="S47" s="36">
        <f>#N/A</f>
        <v>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580</v>
      </c>
      <c r="F48" s="154">
        <v>812.87</v>
      </c>
      <c r="G48" s="148">
        <f t="shared" si="16"/>
        <v>232.87</v>
      </c>
      <c r="H48" s="162">
        <f t="shared" si="18"/>
        <v>232.87</v>
      </c>
      <c r="I48" s="163">
        <f t="shared" si="19"/>
        <v>82.87</v>
      </c>
      <c r="J48" s="163">
        <f t="shared" si="23"/>
        <v>111.35205479452055</v>
      </c>
      <c r="K48" s="163">
        <v>328.11</v>
      </c>
      <c r="L48" s="163">
        <f t="shared" si="20"/>
        <v>484.76</v>
      </c>
      <c r="M48" s="216">
        <f t="shared" si="21"/>
        <v>2.477431349242632</v>
      </c>
      <c r="N48" s="155">
        <f>E48-липень!E48</f>
        <v>60</v>
      </c>
      <c r="O48" s="158">
        <f>F48-липень!F48</f>
        <v>98.26999999999998</v>
      </c>
      <c r="P48" s="159">
        <f t="shared" si="17"/>
        <v>38.26999999999998</v>
      </c>
      <c r="Q48" s="163">
        <f t="shared" si="22"/>
        <v>1.637833333333333</v>
      </c>
      <c r="R48" s="36">
        <v>100</v>
      </c>
      <c r="S48" s="36">
        <f>#N/A</f>
        <v>-87.70000000000005</v>
      </c>
    </row>
    <row r="49" spans="1:19" s="6" customFormat="1" ht="18">
      <c r="A49" s="8"/>
      <c r="B49" s="129" t="s">
        <v>210</v>
      </c>
      <c r="C49" s="48">
        <v>22010200</v>
      </c>
      <c r="D49" s="148">
        <v>0</v>
      </c>
      <c r="E49" s="148">
        <v>0</v>
      </c>
      <c r="F49" s="154">
        <v>23.38</v>
      </c>
      <c r="G49" s="148">
        <f t="shared" si="16"/>
        <v>23.38</v>
      </c>
      <c r="H49" s="162">
        <f t="shared" si="18"/>
        <v>23.38</v>
      </c>
      <c r="I49" s="163">
        <f t="shared" si="19"/>
        <v>23.38</v>
      </c>
      <c r="J49" s="163" t="e">
        <f t="shared" si="23"/>
        <v>#DIV/0!</v>
      </c>
      <c r="K49" s="163"/>
      <c r="L49" s="163">
        <f t="shared" si="20"/>
        <v>23.38</v>
      </c>
      <c r="M49" s="216" t="e">
        <f t="shared" si="21"/>
        <v>#DIV/0!</v>
      </c>
      <c r="N49" s="155">
        <f>E49-липень!E49</f>
        <v>0</v>
      </c>
      <c r="O49" s="158">
        <f>F49-липень!F49</f>
        <v>0</v>
      </c>
      <c r="P49" s="159">
        <f t="shared" si="17"/>
        <v>0</v>
      </c>
      <c r="Q49" s="163"/>
      <c r="R49" s="36"/>
      <c r="S49" s="36">
        <f>#N/A</f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7940</v>
      </c>
      <c r="F50" s="154">
        <v>12913.82</v>
      </c>
      <c r="G50" s="148">
        <f t="shared" si="16"/>
        <v>4973.82</v>
      </c>
      <c r="H50" s="162">
        <f t="shared" si="18"/>
        <v>4973.82</v>
      </c>
      <c r="I50" s="163">
        <f t="shared" si="19"/>
        <v>1913.8199999999997</v>
      </c>
      <c r="J50" s="163">
        <f t="shared" si="23"/>
        <v>117.39836363636363</v>
      </c>
      <c r="K50" s="163">
        <v>7062.64</v>
      </c>
      <c r="L50" s="163">
        <f t="shared" si="20"/>
        <v>5851.179999999999</v>
      </c>
      <c r="M50" s="216">
        <f t="shared" si="21"/>
        <v>1.8284692409637189</v>
      </c>
      <c r="N50" s="155">
        <f>E50-липень!E50</f>
        <v>900</v>
      </c>
      <c r="O50" s="158">
        <f>F50-липень!F50</f>
        <v>2129.83</v>
      </c>
      <c r="P50" s="159">
        <f t="shared" si="17"/>
        <v>1229.83</v>
      </c>
      <c r="Q50" s="163">
        <f t="shared" si="22"/>
        <v>2.366477777777778</v>
      </c>
      <c r="R50" s="36">
        <v>1400</v>
      </c>
      <c r="S50" s="36">
        <f>#N/A</f>
        <v>-1102.3500000000004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f>175+35</f>
        <v>210</v>
      </c>
      <c r="F51" s="154">
        <v>376.24</v>
      </c>
      <c r="G51" s="148">
        <f t="shared" si="16"/>
        <v>166.24</v>
      </c>
      <c r="H51" s="162">
        <f t="shared" si="18"/>
        <v>166.24</v>
      </c>
      <c r="I51" s="163">
        <f t="shared" si="19"/>
        <v>66.24000000000001</v>
      </c>
      <c r="J51" s="163">
        <f t="shared" si="23"/>
        <v>121.36774193548388</v>
      </c>
      <c r="K51" s="163">
        <v>168.26</v>
      </c>
      <c r="L51" s="163">
        <f t="shared" si="20"/>
        <v>207.98000000000002</v>
      </c>
      <c r="M51" s="216">
        <f t="shared" si="21"/>
        <v>2.2360632354689174</v>
      </c>
      <c r="N51" s="155">
        <f>E51-липень!E51</f>
        <v>35</v>
      </c>
      <c r="O51" s="158">
        <f>F51-липень!F51</f>
        <v>70.07</v>
      </c>
      <c r="P51" s="159">
        <f t="shared" si="17"/>
        <v>35.06999999999999</v>
      </c>
      <c r="Q51" s="163">
        <f t="shared" si="22"/>
        <v>2.002</v>
      </c>
      <c r="R51" s="36">
        <v>40</v>
      </c>
      <c r="S51" s="36">
        <f>#N/A</f>
        <v>-32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16</v>
      </c>
      <c r="F52" s="154">
        <v>31.68</v>
      </c>
      <c r="G52" s="148">
        <f t="shared" si="16"/>
        <v>15.68</v>
      </c>
      <c r="H52" s="162">
        <f t="shared" si="18"/>
        <v>15.68</v>
      </c>
      <c r="I52" s="163">
        <f t="shared" si="19"/>
        <v>11.68</v>
      </c>
      <c r="J52" s="163">
        <f t="shared" si="23"/>
        <v>158.4</v>
      </c>
      <c r="K52" s="163">
        <v>15.44</v>
      </c>
      <c r="L52" s="163">
        <f t="shared" si="20"/>
        <v>16.240000000000002</v>
      </c>
      <c r="M52" s="216">
        <f t="shared" si="21"/>
        <v>2.051813471502591</v>
      </c>
      <c r="N52" s="155">
        <f>E52-липень!E52</f>
        <v>4</v>
      </c>
      <c r="O52" s="158">
        <f>F52-липень!F52</f>
        <v>5.759999999999998</v>
      </c>
      <c r="P52" s="159">
        <f t="shared" si="17"/>
        <v>1.759999999999998</v>
      </c>
      <c r="Q52" s="163">
        <f t="shared" si="22"/>
        <v>1.4399999999999995</v>
      </c>
      <c r="R52" s="36">
        <v>4</v>
      </c>
      <c r="S52" s="36">
        <f>#N/A</f>
        <v>-2.4200000000000017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f>4250+605</f>
        <v>4855</v>
      </c>
      <c r="F53" s="154">
        <v>4333.34</v>
      </c>
      <c r="G53" s="148">
        <f t="shared" si="16"/>
        <v>-521.6599999999999</v>
      </c>
      <c r="H53" s="162">
        <f t="shared" si="18"/>
        <v>-521.6599999999999</v>
      </c>
      <c r="I53" s="163">
        <f t="shared" si="19"/>
        <v>-2941.66</v>
      </c>
      <c r="J53" s="163">
        <f t="shared" si="23"/>
        <v>59.56481099656358</v>
      </c>
      <c r="K53" s="163">
        <v>5068.19</v>
      </c>
      <c r="L53" s="163">
        <f t="shared" si="20"/>
        <v>-734.8499999999995</v>
      </c>
      <c r="M53" s="216">
        <f t="shared" si="21"/>
        <v>0.8550074089566493</v>
      </c>
      <c r="N53" s="155">
        <f>E53-липень!E53</f>
        <v>605</v>
      </c>
      <c r="O53" s="158">
        <f>F53-липень!F53</f>
        <v>547.2000000000003</v>
      </c>
      <c r="P53" s="159">
        <f t="shared" si="17"/>
        <v>-57.79999999999973</v>
      </c>
      <c r="Q53" s="163">
        <f t="shared" si="22"/>
        <v>0.9044628099173558</v>
      </c>
      <c r="R53" s="36">
        <v>550</v>
      </c>
      <c r="S53" s="36">
        <f>#N/A</f>
        <v>4.360000000000127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790</v>
      </c>
      <c r="F54" s="154">
        <v>550.99</v>
      </c>
      <c r="G54" s="148">
        <f t="shared" si="16"/>
        <v>-239.01</v>
      </c>
      <c r="H54" s="162">
        <f t="shared" si="18"/>
        <v>-239.01</v>
      </c>
      <c r="I54" s="163">
        <f t="shared" si="19"/>
        <v>-649.01</v>
      </c>
      <c r="J54" s="163">
        <f t="shared" si="23"/>
        <v>45.91583333333333</v>
      </c>
      <c r="K54" s="163">
        <v>4347.61</v>
      </c>
      <c r="L54" s="163">
        <f t="shared" si="20"/>
        <v>-3796.62</v>
      </c>
      <c r="M54" s="216">
        <f t="shared" si="21"/>
        <v>0.1267339986797344</v>
      </c>
      <c r="N54" s="155">
        <f>E54-липень!E54</f>
        <v>100</v>
      </c>
      <c r="O54" s="158">
        <f>F54-липень!F54</f>
        <v>71.84000000000003</v>
      </c>
      <c r="P54" s="159">
        <f t="shared" si="17"/>
        <v>-28.159999999999968</v>
      </c>
      <c r="Q54" s="163">
        <f t="shared" si="22"/>
        <v>0.7184000000000004</v>
      </c>
      <c r="R54" s="36">
        <v>50</v>
      </c>
      <c r="S54" s="36">
        <f>#N/A</f>
        <v>-32.60000000000002</v>
      </c>
    </row>
    <row r="55" spans="1:19" s="6" customFormat="1" ht="18" hidden="1">
      <c r="A55" s="8"/>
      <c r="B55" s="49" t="s">
        <v>97</v>
      </c>
      <c r="C55" s="122">
        <v>22090100</v>
      </c>
      <c r="D55" s="102">
        <v>998</v>
      </c>
      <c r="E55" s="102">
        <v>660</v>
      </c>
      <c r="F55" s="138">
        <v>466.98</v>
      </c>
      <c r="G55" s="102">
        <f t="shared" si="16"/>
        <v>-193.01999999999998</v>
      </c>
      <c r="H55" s="104">
        <f t="shared" si="18"/>
        <v>-193.01999999999998</v>
      </c>
      <c r="I55" s="103">
        <f t="shared" si="19"/>
        <v>-531.02</v>
      </c>
      <c r="J55" s="103">
        <f t="shared" si="23"/>
        <v>46.791583166332664</v>
      </c>
      <c r="K55" s="103">
        <v>570.13</v>
      </c>
      <c r="L55" s="163">
        <f t="shared" si="20"/>
        <v>-103.14999999999998</v>
      </c>
      <c r="M55" s="216">
        <f t="shared" si="21"/>
        <v>0.819076351007665</v>
      </c>
      <c r="N55" s="104">
        <f>E55-липень!E55</f>
        <v>80</v>
      </c>
      <c r="O55" s="142">
        <f>F55-липень!F55</f>
        <v>57.84000000000003</v>
      </c>
      <c r="P55" s="105">
        <f t="shared" si="17"/>
        <v>-22.159999999999968</v>
      </c>
      <c r="Q55" s="103">
        <f t="shared" si="22"/>
        <v>0.7230000000000004</v>
      </c>
      <c r="R55" s="36"/>
      <c r="S55" s="36">
        <f>#N/A</f>
        <v>0</v>
      </c>
    </row>
    <row r="56" spans="1:19" s="6" customFormat="1" ht="18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102">
        <f t="shared" si="16"/>
        <v>0.15</v>
      </c>
      <c r="H56" s="104">
        <f t="shared" si="18"/>
        <v>0.15</v>
      </c>
      <c r="I56" s="103">
        <f t="shared" si="19"/>
        <v>-0.85</v>
      </c>
      <c r="J56" s="103">
        <f t="shared" si="23"/>
        <v>15</v>
      </c>
      <c r="K56" s="103">
        <v>0.27</v>
      </c>
      <c r="L56" s="163">
        <f t="shared" si="20"/>
        <v>-0.12000000000000002</v>
      </c>
      <c r="M56" s="216">
        <f t="shared" si="21"/>
        <v>0.5555555555555555</v>
      </c>
      <c r="N56" s="104">
        <f>E56-липень!E56</f>
        <v>0</v>
      </c>
      <c r="O56" s="142">
        <f>F56-липень!F56</f>
        <v>0</v>
      </c>
      <c r="P56" s="105">
        <f t="shared" si="17"/>
        <v>0</v>
      </c>
      <c r="Q56" s="103"/>
      <c r="R56" s="36"/>
      <c r="S56" s="36">
        <f>#N/A</f>
        <v>0</v>
      </c>
    </row>
    <row r="57" spans="1:19" s="6" customFormat="1" ht="18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102">
        <f t="shared" si="16"/>
        <v>0</v>
      </c>
      <c r="H57" s="104">
        <f t="shared" si="18"/>
        <v>0</v>
      </c>
      <c r="I57" s="103">
        <f t="shared" si="19"/>
        <v>-1</v>
      </c>
      <c r="J57" s="103">
        <f t="shared" si="23"/>
        <v>0</v>
      </c>
      <c r="K57" s="103">
        <v>0.02</v>
      </c>
      <c r="L57" s="163">
        <f t="shared" si="20"/>
        <v>-0.02</v>
      </c>
      <c r="M57" s="216">
        <f t="shared" si="21"/>
        <v>0</v>
      </c>
      <c r="N57" s="104">
        <f>E57-липень!E57</f>
        <v>0</v>
      </c>
      <c r="O57" s="142">
        <f>F57-липень!F57</f>
        <v>0</v>
      </c>
      <c r="P57" s="105">
        <f t="shared" si="17"/>
        <v>0</v>
      </c>
      <c r="Q57" s="103"/>
      <c r="R57" s="36"/>
      <c r="S57" s="36">
        <f>#N/A</f>
        <v>0</v>
      </c>
    </row>
    <row r="58" spans="1:19" s="6" customFormat="1" ht="18" hidden="1">
      <c r="A58" s="8"/>
      <c r="B58" s="49" t="s">
        <v>96</v>
      </c>
      <c r="C58" s="122">
        <v>22090400</v>
      </c>
      <c r="D58" s="102">
        <v>200</v>
      </c>
      <c r="E58" s="102">
        <v>130</v>
      </c>
      <c r="F58" s="138">
        <v>83.86</v>
      </c>
      <c r="G58" s="102">
        <f t="shared" si="16"/>
        <v>-46.14</v>
      </c>
      <c r="H58" s="104">
        <f t="shared" si="18"/>
        <v>-46.14</v>
      </c>
      <c r="I58" s="103">
        <f t="shared" si="19"/>
        <v>-116.14</v>
      </c>
      <c r="J58" s="103">
        <f t="shared" si="23"/>
        <v>41.93</v>
      </c>
      <c r="K58" s="103">
        <v>3777.19</v>
      </c>
      <c r="L58" s="163">
        <f t="shared" si="20"/>
        <v>-3693.33</v>
      </c>
      <c r="M58" s="216">
        <f t="shared" si="21"/>
        <v>0.02220168961582552</v>
      </c>
      <c r="N58" s="104">
        <f>E58-липень!E58</f>
        <v>20</v>
      </c>
      <c r="O58" s="142">
        <f>F58-липень!F58</f>
        <v>14.010000000000005</v>
      </c>
      <c r="P58" s="105">
        <f t="shared" si="17"/>
        <v>-5.989999999999995</v>
      </c>
      <c r="Q58" s="103">
        <f t="shared" si="22"/>
        <v>0.7005000000000002</v>
      </c>
      <c r="R58" s="36"/>
      <c r="S58" s="36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48">
        <f t="shared" si="16"/>
        <v>-0.45999999999999996</v>
      </c>
      <c r="H59" s="162">
        <f t="shared" si="18"/>
        <v>-0.45999999999999996</v>
      </c>
      <c r="I59" s="163">
        <f t="shared" si="19"/>
        <v>-0.45999999999999996</v>
      </c>
      <c r="J59" s="163">
        <f t="shared" si="23"/>
        <v>81.60000000000001</v>
      </c>
      <c r="K59" s="163">
        <v>2.46</v>
      </c>
      <c r="L59" s="163">
        <f t="shared" si="20"/>
        <v>-0.41999999999999993</v>
      </c>
      <c r="M59" s="216">
        <f t="shared" si="21"/>
        <v>0.8292682926829269</v>
      </c>
      <c r="N59" s="155">
        <f>E59-липень!E59</f>
        <v>0</v>
      </c>
      <c r="O59" s="158">
        <f>F59-липень!F59</f>
        <v>0</v>
      </c>
      <c r="P59" s="159">
        <f t="shared" si="17"/>
        <v>0</v>
      </c>
      <c r="Q59" s="163"/>
      <c r="R59" s="36">
        <v>0</v>
      </c>
      <c r="S59" s="36">
        <f>#N/A</f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5460+600</f>
        <v>6060</v>
      </c>
      <c r="F60" s="154">
        <v>5877.33</v>
      </c>
      <c r="G60" s="148">
        <f t="shared" si="16"/>
        <v>-182.67000000000007</v>
      </c>
      <c r="H60" s="162">
        <f t="shared" si="18"/>
        <v>-182.67000000000007</v>
      </c>
      <c r="I60" s="163">
        <f t="shared" si="19"/>
        <v>-1472.67</v>
      </c>
      <c r="J60" s="163">
        <f t="shared" si="23"/>
        <v>79.96367346938776</v>
      </c>
      <c r="K60" s="163">
        <v>4601.83</v>
      </c>
      <c r="L60" s="163">
        <f t="shared" si="20"/>
        <v>1275.5</v>
      </c>
      <c r="M60" s="216">
        <f t="shared" si="21"/>
        <v>1.2771723423072996</v>
      </c>
      <c r="N60" s="155">
        <f>E60-липень!E60</f>
        <v>600</v>
      </c>
      <c r="O60" s="158">
        <f>F60-липень!F60</f>
        <v>439.1300000000001</v>
      </c>
      <c r="P60" s="159">
        <f t="shared" si="17"/>
        <v>-160.8699999999999</v>
      </c>
      <c r="Q60" s="163">
        <f t="shared" si="22"/>
        <v>0.7318833333333336</v>
      </c>
      <c r="R60" s="36">
        <v>500</v>
      </c>
      <c r="S60" s="36">
        <f>#N/A</f>
        <v>-468.89999999999964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48">
        <f t="shared" si="16"/>
        <v>0</v>
      </c>
      <c r="H61" s="162">
        <f t="shared" si="18"/>
        <v>0</v>
      </c>
      <c r="I61" s="163">
        <f t="shared" si="19"/>
        <v>0</v>
      </c>
      <c r="J61" s="163" t="e">
        <f t="shared" si="23"/>
        <v>#DIV/0!</v>
      </c>
      <c r="K61" s="163">
        <v>0</v>
      </c>
      <c r="L61" s="163">
        <f t="shared" si="20"/>
        <v>0</v>
      </c>
      <c r="M61" s="216" t="e">
        <f t="shared" si="21"/>
        <v>#DIV/0!</v>
      </c>
      <c r="N61" s="155">
        <f>E61-липень!E61</f>
        <v>0</v>
      </c>
      <c r="O61" s="158">
        <f>F61-липень!F61</f>
        <v>0</v>
      </c>
      <c r="P61" s="159">
        <f t="shared" si="17"/>
        <v>0</v>
      </c>
      <c r="Q61" s="163" t="e">
        <f t="shared" si="22"/>
        <v>#DIV/0!</v>
      </c>
      <c r="R61" s="36"/>
      <c r="S61" s="36">
        <f>#N/A</f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1390</v>
      </c>
      <c r="G62" s="250">
        <f t="shared" si="16"/>
        <v>1390</v>
      </c>
      <c r="H62" s="193">
        <f t="shared" si="18"/>
        <v>1390</v>
      </c>
      <c r="I62" s="251">
        <f t="shared" si="19"/>
        <v>1390</v>
      </c>
      <c r="J62" s="163"/>
      <c r="K62" s="164">
        <v>889.8</v>
      </c>
      <c r="L62" s="251">
        <f t="shared" si="20"/>
        <v>500.20000000000005</v>
      </c>
      <c r="M62" s="302">
        <f t="shared" si="21"/>
        <v>1.5621487974825805</v>
      </c>
      <c r="N62" s="193">
        <f>E62-липень!E62</f>
        <v>0</v>
      </c>
      <c r="O62" s="177">
        <f>F62-липень!F62</f>
        <v>160</v>
      </c>
      <c r="P62" s="164">
        <f t="shared" si="17"/>
        <v>160</v>
      </c>
      <c r="Q62" s="251"/>
      <c r="R62" s="36"/>
      <c r="S62" s="36">
        <f>#N/A</f>
        <v>15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48">
        <f t="shared" si="16"/>
        <v>0</v>
      </c>
      <c r="H63" s="162">
        <f t="shared" si="18"/>
        <v>0</v>
      </c>
      <c r="I63" s="163">
        <f t="shared" si="19"/>
        <v>0</v>
      </c>
      <c r="J63" s="163" t="e">
        <f t="shared" si="23"/>
        <v>#DIV/0!</v>
      </c>
      <c r="K63" s="164">
        <v>0</v>
      </c>
      <c r="L63" s="163">
        <f t="shared" si="20"/>
        <v>0</v>
      </c>
      <c r="M63" s="216" t="e">
        <f t="shared" si="21"/>
        <v>#DIV/0!</v>
      </c>
      <c r="N63" s="155">
        <f>E63-липень!E63</f>
        <v>0</v>
      </c>
      <c r="O63" s="158">
        <f>F63-липень!F63</f>
        <v>0</v>
      </c>
      <c r="P63" s="159">
        <f t="shared" si="17"/>
        <v>0</v>
      </c>
      <c r="Q63" s="163" t="e">
        <f t="shared" si="22"/>
        <v>#DIV/0!</v>
      </c>
      <c r="R63" s="36"/>
      <c r="S63" s="36">
        <f>#N/A</f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80</v>
      </c>
      <c r="F64" s="154">
        <v>60.14</v>
      </c>
      <c r="G64" s="148">
        <f t="shared" si="16"/>
        <v>-19.86</v>
      </c>
      <c r="H64" s="162">
        <f t="shared" si="18"/>
        <v>-19.86</v>
      </c>
      <c r="I64" s="163">
        <f t="shared" si="19"/>
        <v>-99.86</v>
      </c>
      <c r="J64" s="163">
        <f t="shared" si="23"/>
        <v>37.5875</v>
      </c>
      <c r="K64" s="163">
        <v>152.27</v>
      </c>
      <c r="L64" s="163">
        <f t="shared" si="20"/>
        <v>-92.13000000000001</v>
      </c>
      <c r="M64" s="216">
        <f t="shared" si="21"/>
        <v>0.3949563275760163</v>
      </c>
      <c r="N64" s="155">
        <f>E64-липень!E64</f>
        <v>30</v>
      </c>
      <c r="O64" s="158">
        <f>F64-липень!F64</f>
        <v>0</v>
      </c>
      <c r="P64" s="159">
        <f t="shared" si="17"/>
        <v>-30</v>
      </c>
      <c r="Q64" s="163">
        <f t="shared" si="22"/>
        <v>0</v>
      </c>
      <c r="R64" s="36">
        <v>0</v>
      </c>
      <c r="S64" s="36">
        <f>#N/A</f>
        <v>0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f>8.8+1.3</f>
        <v>10.100000000000001</v>
      </c>
      <c r="F65" s="154">
        <v>30.95</v>
      </c>
      <c r="G65" s="148">
        <f t="shared" si="16"/>
        <v>20.849999999999998</v>
      </c>
      <c r="H65" s="162">
        <f t="shared" si="18"/>
        <v>20.849999999999998</v>
      </c>
      <c r="I65" s="163">
        <f t="shared" si="19"/>
        <v>15.95</v>
      </c>
      <c r="J65" s="163">
        <f t="shared" si="23"/>
        <v>206.33333333333334</v>
      </c>
      <c r="K65" s="163">
        <v>13.42</v>
      </c>
      <c r="L65" s="163">
        <f t="shared" si="20"/>
        <v>17.53</v>
      </c>
      <c r="M65" s="216">
        <f t="shared" si="21"/>
        <v>2.3062593144560357</v>
      </c>
      <c r="N65" s="155">
        <f>E65-липень!E65</f>
        <v>1.3000000000000007</v>
      </c>
      <c r="O65" s="158">
        <f>F65-липень!F65</f>
        <v>2.41</v>
      </c>
      <c r="P65" s="159">
        <f t="shared" si="17"/>
        <v>1.1099999999999994</v>
      </c>
      <c r="Q65" s="163">
        <f t="shared" si="22"/>
        <v>1.853846153846153</v>
      </c>
      <c r="R65" s="36">
        <v>3.2</v>
      </c>
      <c r="S65" s="36">
        <f>#N/A</f>
        <v>-3.2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-5.17</v>
      </c>
      <c r="G66" s="148">
        <f t="shared" si="16"/>
        <v>-5.17</v>
      </c>
      <c r="H66" s="162">
        <f t="shared" si="18"/>
        <v>-5.17</v>
      </c>
      <c r="I66" s="163">
        <f t="shared" si="19"/>
        <v>-5.17</v>
      </c>
      <c r="J66" s="163"/>
      <c r="K66" s="163">
        <v>1.03</v>
      </c>
      <c r="L66" s="163">
        <f t="shared" si="20"/>
        <v>-6.2</v>
      </c>
      <c r="M66" s="216">
        <f t="shared" si="21"/>
        <v>-5.019417475728155</v>
      </c>
      <c r="N66" s="155">
        <f>E66-липень!E66</f>
        <v>0</v>
      </c>
      <c r="O66" s="158">
        <f>F66-липень!F66</f>
        <v>0.08000000000000007</v>
      </c>
      <c r="P66" s="159">
        <f t="shared" si="17"/>
        <v>0.08000000000000007</v>
      </c>
      <c r="Q66" s="163"/>
      <c r="R66" s="36">
        <v>0</v>
      </c>
      <c r="S66" s="36">
        <f>#N/A</f>
        <v>0</v>
      </c>
    </row>
    <row r="67" spans="1:19" s="6" customFormat="1" ht="17.25">
      <c r="A67" s="9"/>
      <c r="B67" s="14" t="s">
        <v>171</v>
      </c>
      <c r="C67" s="61"/>
      <c r="D67" s="149">
        <f>D8+D41+D65+D66</f>
        <v>1357491.1</v>
      </c>
      <c r="E67" s="149">
        <f>E8+E41+E65+E66</f>
        <v>886398.7999999999</v>
      </c>
      <c r="F67" s="149">
        <f>F8+F41+F65+F66</f>
        <v>885514.16</v>
      </c>
      <c r="G67" s="149">
        <f>F67-E67</f>
        <v>-884.6399999998976</v>
      </c>
      <c r="H67" s="150">
        <f>F67/E67*100</f>
        <v>99.90019842084625</v>
      </c>
      <c r="I67" s="151">
        <f>F67-D67</f>
        <v>-471976.94000000006</v>
      </c>
      <c r="J67" s="151">
        <f>F67/D67*100</f>
        <v>65.2316733420941</v>
      </c>
      <c r="K67" s="149">
        <v>676523.63</v>
      </c>
      <c r="L67" s="151">
        <f>F67-K67</f>
        <v>208990.53000000003</v>
      </c>
      <c r="M67" s="217">
        <f>F67/K67</f>
        <v>1.308918300459069</v>
      </c>
      <c r="N67" s="149">
        <f>N8+N41+N65+N66</f>
        <v>123856.1</v>
      </c>
      <c r="O67" s="149">
        <f>O8+O41+O65+O66</f>
        <v>119454.43000000008</v>
      </c>
      <c r="P67" s="192">
        <f>O67-N67</f>
        <v>-4401.6699999999255</v>
      </c>
      <c r="Q67" s="151">
        <f>O67/N67*100</f>
        <v>96.4461419340671</v>
      </c>
      <c r="R67" s="26">
        <f>R8+R41+R65+R66</f>
        <v>108115.7</v>
      </c>
      <c r="S67" s="277">
        <f>O67-R67</f>
        <v>11338.730000000083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-3.83</v>
      </c>
      <c r="L72" s="165">
        <f>F72-K72</f>
        <v>3.84</v>
      </c>
      <c r="M72" s="207">
        <f>F72/K72</f>
        <v>-0.0026109660574412533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 aca="true" t="shared" si="24" ref="I73:I80">F73-D73</f>
        <v>-2.64</v>
      </c>
      <c r="J73" s="165"/>
      <c r="K73" s="165">
        <v>-3.83</v>
      </c>
      <c r="L73" s="165">
        <f>F73-K73</f>
        <v>1.19</v>
      </c>
      <c r="M73" s="207">
        <f>F73/K73</f>
        <v>0.6892950391644909</v>
      </c>
      <c r="N73" s="160">
        <f>E73-червень!E73</f>
        <v>0</v>
      </c>
      <c r="O73" s="158">
        <f>F73-липень!F73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 t="shared" si="24"/>
        <v>-2.6300000000000003</v>
      </c>
      <c r="J74" s="185"/>
      <c r="K74" s="185">
        <v>-3.8200000000000003</v>
      </c>
      <c r="L74" s="185">
        <f aca="true" t="shared" si="25" ref="L74:L86">F74-K74</f>
        <v>1.19</v>
      </c>
      <c r="M74" s="212">
        <f aca="true" t="shared" si="26" ref="M74:M89">F74/K74</f>
        <v>0.6884816753926702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.7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60">
        <f aca="true" t="shared" si="27" ref="G75:G86">F75-E75</f>
        <v>35.57</v>
      </c>
      <c r="H75" s="184"/>
      <c r="I75" s="185">
        <f t="shared" si="24"/>
        <v>35.57</v>
      </c>
      <c r="J75" s="185"/>
      <c r="K75" s="185">
        <v>0</v>
      </c>
      <c r="L75" s="185">
        <f t="shared" si="25"/>
        <v>35.57</v>
      </c>
      <c r="M75" s="207"/>
      <c r="N75" s="184">
        <f>E75-червень!E75</f>
        <v>0</v>
      </c>
      <c r="O75" s="286">
        <f>F75-червень!F75</f>
        <v>0</v>
      </c>
      <c r="P75" s="185">
        <f aca="true" t="shared" si="28" ref="P75:P86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f>13500+4500</f>
        <v>18000</v>
      </c>
      <c r="F76" s="179">
        <v>3.81</v>
      </c>
      <c r="G76" s="160">
        <f t="shared" si="27"/>
        <v>-17996.19</v>
      </c>
      <c r="H76" s="162">
        <f>F76/E76*100</f>
        <v>0.021166666666666667</v>
      </c>
      <c r="I76" s="165">
        <f t="shared" si="24"/>
        <v>-104202.22</v>
      </c>
      <c r="J76" s="165">
        <f>F76/D76*100</f>
        <v>0.0036562183589567707</v>
      </c>
      <c r="K76" s="165">
        <v>1535.17</v>
      </c>
      <c r="L76" s="165">
        <f t="shared" si="25"/>
        <v>-1531.3600000000001</v>
      </c>
      <c r="M76" s="207">
        <f t="shared" si="26"/>
        <v>0.0024818098321358548</v>
      </c>
      <c r="N76" s="155">
        <f>E76-липень!E76</f>
        <v>4500</v>
      </c>
      <c r="O76" s="158">
        <f>F76-липень!F76</f>
        <v>0.040000000000000036</v>
      </c>
      <c r="P76" s="165">
        <f t="shared" si="28"/>
        <v>-4499.96</v>
      </c>
      <c r="Q76" s="165">
        <f>O76/N76*100</f>
        <v>0.0008888888888888897</v>
      </c>
      <c r="R76" s="37">
        <v>0</v>
      </c>
      <c r="S76" s="37">
        <f>#N/A</f>
        <v>0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f>19230+3600</f>
        <v>22830</v>
      </c>
      <c r="F77" s="179">
        <v>5970.15</v>
      </c>
      <c r="G77" s="160">
        <f t="shared" si="27"/>
        <v>-16859.85</v>
      </c>
      <c r="H77" s="162">
        <f>F77/E77*100</f>
        <v>26.150459921156372</v>
      </c>
      <c r="I77" s="165">
        <f t="shared" si="24"/>
        <v>-48029.85</v>
      </c>
      <c r="J77" s="165">
        <f>F77/D77*100</f>
        <v>11.055833333333332</v>
      </c>
      <c r="K77" s="165">
        <v>6783.53</v>
      </c>
      <c r="L77" s="165">
        <f t="shared" si="25"/>
        <v>-813.3800000000001</v>
      </c>
      <c r="M77" s="207">
        <f t="shared" si="26"/>
        <v>0.8800948768561501</v>
      </c>
      <c r="N77" s="155">
        <f>E77-липень!E77</f>
        <v>3600</v>
      </c>
      <c r="O77" s="158">
        <f>F77-липень!F77</f>
        <v>63.9399999999996</v>
      </c>
      <c r="P77" s="165">
        <f t="shared" si="28"/>
        <v>-3536.0600000000004</v>
      </c>
      <c r="Q77" s="165">
        <f>O77/N77*100</f>
        <v>1.7761111111110999</v>
      </c>
      <c r="R77" s="37">
        <v>200</v>
      </c>
      <c r="S77" s="37">
        <f>#N/A</f>
        <v>-200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f>20050+3850</f>
        <v>23900</v>
      </c>
      <c r="F78" s="179">
        <v>8033.92</v>
      </c>
      <c r="G78" s="160">
        <f t="shared" si="27"/>
        <v>-15866.08</v>
      </c>
      <c r="H78" s="162">
        <f>F78/E78*100</f>
        <v>33.6147280334728</v>
      </c>
      <c r="I78" s="165">
        <f t="shared" si="24"/>
        <v>-70966.08</v>
      </c>
      <c r="J78" s="165">
        <f>F78/D78*100</f>
        <v>10.169518987341771</v>
      </c>
      <c r="K78" s="165">
        <v>10477.14</v>
      </c>
      <c r="L78" s="165">
        <f t="shared" si="25"/>
        <v>-2443.2199999999993</v>
      </c>
      <c r="M78" s="207">
        <f t="shared" si="26"/>
        <v>0.7668046814302377</v>
      </c>
      <c r="N78" s="155">
        <f>E78-липень!E78</f>
        <v>3850</v>
      </c>
      <c r="O78" s="158">
        <f>F78-липень!F78</f>
        <v>1062.62</v>
      </c>
      <c r="P78" s="165">
        <f t="shared" si="28"/>
        <v>-2787.38</v>
      </c>
      <c r="Q78" s="165">
        <f>O78/N78*100</f>
        <v>27.600519480519477</v>
      </c>
      <c r="R78" s="37">
        <v>1500</v>
      </c>
      <c r="S78" s="37">
        <f>#N/A</f>
        <v>-1495.5</v>
      </c>
    </row>
    <row r="79" spans="2:19" ht="18">
      <c r="B79" s="23" t="s">
        <v>101</v>
      </c>
      <c r="C79" s="72">
        <v>24110700</v>
      </c>
      <c r="D79" s="178">
        <v>12</v>
      </c>
      <c r="E79" s="178">
        <v>8</v>
      </c>
      <c r="F79" s="179">
        <v>9</v>
      </c>
      <c r="G79" s="160">
        <f t="shared" si="27"/>
        <v>1</v>
      </c>
      <c r="H79" s="162">
        <f>F79/E79*100</f>
        <v>112.5</v>
      </c>
      <c r="I79" s="165">
        <f t="shared" si="24"/>
        <v>-3</v>
      </c>
      <c r="J79" s="165">
        <f>F79/D79*100</f>
        <v>75</v>
      </c>
      <c r="K79" s="165">
        <v>6</v>
      </c>
      <c r="L79" s="165">
        <f t="shared" si="25"/>
        <v>3</v>
      </c>
      <c r="M79" s="207">
        <f t="shared" si="26"/>
        <v>1.5</v>
      </c>
      <c r="N79" s="155">
        <f>E79-липень!E79</f>
        <v>1</v>
      </c>
      <c r="O79" s="158">
        <f>F79-липень!F79</f>
        <v>1</v>
      </c>
      <c r="P79" s="165">
        <f t="shared" si="28"/>
        <v>0</v>
      </c>
      <c r="Q79" s="165">
        <f>O79/N79*100</f>
        <v>100</v>
      </c>
      <c r="R79" s="37">
        <v>1</v>
      </c>
      <c r="S79" s="37">
        <f>#N/A</f>
        <v>-1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64738</v>
      </c>
      <c r="F80" s="182">
        <f>F76+F77+F78+F79</f>
        <v>14016.880000000001</v>
      </c>
      <c r="G80" s="183">
        <f t="shared" si="27"/>
        <v>-50721.119999999995</v>
      </c>
      <c r="H80" s="184">
        <f>F80/E80*100</f>
        <v>21.65170379066391</v>
      </c>
      <c r="I80" s="185">
        <f t="shared" si="24"/>
        <v>-223201.15</v>
      </c>
      <c r="J80" s="185">
        <f>F80/D80*100</f>
        <v>5.9088594572680675</v>
      </c>
      <c r="K80" s="185">
        <v>18801.84</v>
      </c>
      <c r="L80" s="165">
        <f t="shared" si="25"/>
        <v>-4784.959999999999</v>
      </c>
      <c r="M80" s="207">
        <f t="shared" si="26"/>
        <v>0.7455057590108203</v>
      </c>
      <c r="N80" s="183">
        <f>N76+N77+N78+N79</f>
        <v>11951</v>
      </c>
      <c r="O80" s="187">
        <f>O76+O77+O78+O79</f>
        <v>1127.5999999999995</v>
      </c>
      <c r="P80" s="185">
        <f t="shared" si="28"/>
        <v>-10823.400000000001</v>
      </c>
      <c r="Q80" s="185">
        <f>O80/N80*100</f>
        <v>9.435193707639524</v>
      </c>
      <c r="R80" s="38">
        <f>SUM(R76:R79)</f>
        <v>1701</v>
      </c>
      <c r="S80" s="38">
        <f>#N/A</f>
        <v>-1696.5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38.14</v>
      </c>
      <c r="G81" s="160">
        <f t="shared" si="27"/>
        <v>34.14</v>
      </c>
      <c r="H81" s="162"/>
      <c r="I81" s="165">
        <f>#N/A</f>
        <v>-1.8599999999999994</v>
      </c>
      <c r="J81" s="165"/>
      <c r="K81" s="165">
        <v>5.67</v>
      </c>
      <c r="L81" s="165">
        <f t="shared" si="25"/>
        <v>32.47</v>
      </c>
      <c r="M81" s="207">
        <f t="shared" si="26"/>
        <v>6.72663139329806</v>
      </c>
      <c r="N81" s="155">
        <f>E81-липень!E81</f>
        <v>0</v>
      </c>
      <c r="O81" s="158">
        <f>F81-липень!F81</f>
        <v>0</v>
      </c>
      <c r="P81" s="165">
        <f t="shared" si="28"/>
        <v>0</v>
      </c>
      <c r="Q81" s="165"/>
      <c r="R81" s="37">
        <v>1</v>
      </c>
      <c r="S81" s="37">
        <f>#N/A</f>
        <v>-1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27"/>
        <v>0</v>
      </c>
      <c r="H82" s="162"/>
      <c r="I82" s="165">
        <f>#N/A</f>
        <v>0</v>
      </c>
      <c r="J82" s="188"/>
      <c r="K82" s="165">
        <v>0</v>
      </c>
      <c r="L82" s="165">
        <f t="shared" si="25"/>
        <v>0</v>
      </c>
      <c r="M82" s="207" t="e">
        <f t="shared" si="26"/>
        <v>#DIV/0!</v>
      </c>
      <c r="N82" s="155">
        <f>E82-липень!E82</f>
        <v>0</v>
      </c>
      <c r="O82" s="158">
        <f>F82-липень!F82</f>
        <v>0</v>
      </c>
      <c r="P82" s="165">
        <f t="shared" si="28"/>
        <v>0</v>
      </c>
      <c r="Q82" s="188"/>
      <c r="R82" s="40"/>
      <c r="S82" s="37">
        <f>#N/A</f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f>4510.8+1882.4</f>
        <v>6393.200000000001</v>
      </c>
      <c r="F83" s="179">
        <v>6573.76</v>
      </c>
      <c r="G83" s="160">
        <f t="shared" si="27"/>
        <v>180.5599999999995</v>
      </c>
      <c r="H83" s="162">
        <f>F83/E83*100</f>
        <v>102.82425076643933</v>
      </c>
      <c r="I83" s="165">
        <f>#N/A</f>
        <v>-3240.5</v>
      </c>
      <c r="J83" s="165">
        <f>F83/D83*100</f>
        <v>78.63349282296652</v>
      </c>
      <c r="K83" s="165">
        <v>6824.83</v>
      </c>
      <c r="L83" s="165">
        <f t="shared" si="25"/>
        <v>-251.0699999999997</v>
      </c>
      <c r="M83" s="207">
        <f t="shared" si="26"/>
        <v>0.9632122704887888</v>
      </c>
      <c r="N83" s="155">
        <f>E83-липень!E83</f>
        <v>1882.4000000000005</v>
      </c>
      <c r="O83" s="158">
        <f>F83-липень!F83</f>
        <v>1460.0600000000004</v>
      </c>
      <c r="P83" s="165">
        <f t="shared" si="28"/>
        <v>-422.34000000000015</v>
      </c>
      <c r="Q83" s="165">
        <f>O83/N83*100</f>
        <v>77.56374840628985</v>
      </c>
      <c r="R83" s="40">
        <v>2850</v>
      </c>
      <c r="S83" s="285">
        <f>#N/A</f>
        <v>-2844.2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0.08</v>
      </c>
      <c r="G84" s="160">
        <f t="shared" si="27"/>
        <v>0.08</v>
      </c>
      <c r="H84" s="162"/>
      <c r="I84" s="165">
        <f>#N/A</f>
        <v>0.05</v>
      </c>
      <c r="J84" s="165"/>
      <c r="K84" s="165">
        <v>1.09</v>
      </c>
      <c r="L84" s="165">
        <f t="shared" si="25"/>
        <v>-1.01</v>
      </c>
      <c r="M84" s="207">
        <f t="shared" si="26"/>
        <v>0.07339449541284403</v>
      </c>
      <c r="N84" s="155">
        <f>E84-липень!E84</f>
        <v>0</v>
      </c>
      <c r="O84" s="158">
        <f>F84-липень!F84</f>
        <v>0.03</v>
      </c>
      <c r="P84" s="165">
        <f t="shared" si="28"/>
        <v>0.03</v>
      </c>
      <c r="Q84" s="188"/>
      <c r="R84" s="37">
        <v>0</v>
      </c>
      <c r="S84" s="37">
        <f>#N/A</f>
        <v>0</v>
      </c>
    </row>
    <row r="85" spans="2:19" ht="30.75">
      <c r="B85" s="27" t="s">
        <v>47</v>
      </c>
      <c r="C85" s="72"/>
      <c r="D85" s="181">
        <f>D81+D84+D82+D83</f>
        <v>8400</v>
      </c>
      <c r="E85" s="181">
        <f>E81+E84+E82+E83</f>
        <v>6397.200000000001</v>
      </c>
      <c r="F85" s="182">
        <f>F81+F84+F82+F83</f>
        <v>6611.9800000000005</v>
      </c>
      <c r="G85" s="183">
        <f t="shared" si="27"/>
        <v>214.77999999999975</v>
      </c>
      <c r="H85" s="184">
        <f>F85/E85*100</f>
        <v>103.35740636528482</v>
      </c>
      <c r="I85" s="185">
        <f>#N/A</f>
        <v>-3242.3100000000004</v>
      </c>
      <c r="J85" s="185">
        <f>F85/D85*100</f>
        <v>78.71404761904762</v>
      </c>
      <c r="K85" s="185">
        <v>6831.59</v>
      </c>
      <c r="L85" s="165">
        <f t="shared" si="25"/>
        <v>-219.60999999999967</v>
      </c>
      <c r="M85" s="207">
        <f t="shared" si="26"/>
        <v>0.9678537500054892</v>
      </c>
      <c r="N85" s="183">
        <f>N81+N84+N82+N83</f>
        <v>1882.4000000000005</v>
      </c>
      <c r="O85" s="187">
        <f>O81+O84+O82+O83</f>
        <v>1460.0900000000004</v>
      </c>
      <c r="P85" s="185">
        <f t="shared" si="28"/>
        <v>-422.3100000000002</v>
      </c>
      <c r="Q85" s="185">
        <f>O85/N85*100</f>
        <v>77.56534211644708</v>
      </c>
      <c r="R85" s="38">
        <f>SUM(R81:R84)</f>
        <v>2851</v>
      </c>
      <c r="S85" s="38">
        <f>#N/A</f>
        <v>-2845.2</v>
      </c>
    </row>
    <row r="86" spans="2:19" ht="30.75">
      <c r="B86" s="12" t="s">
        <v>41</v>
      </c>
      <c r="C86" s="42">
        <v>24110900</v>
      </c>
      <c r="D86" s="178">
        <v>38</v>
      </c>
      <c r="E86" s="178">
        <f>24.8+1.6</f>
        <v>26.400000000000002</v>
      </c>
      <c r="F86" s="179">
        <v>17.65</v>
      </c>
      <c r="G86" s="160">
        <f t="shared" si="27"/>
        <v>-8.750000000000004</v>
      </c>
      <c r="H86" s="162">
        <f>F86/E86*100</f>
        <v>66.8560606060606</v>
      </c>
      <c r="I86" s="165">
        <f>#N/A</f>
        <v>-25.57</v>
      </c>
      <c r="J86" s="165">
        <f>F86/D86*100</f>
        <v>46.44736842105262</v>
      </c>
      <c r="K86" s="185">
        <v>19.38</v>
      </c>
      <c r="L86" s="165">
        <f t="shared" si="25"/>
        <v>-1.7300000000000004</v>
      </c>
      <c r="M86" s="207">
        <f t="shared" si="26"/>
        <v>0.9107327141382868</v>
      </c>
      <c r="N86" s="155">
        <f>E86-липень!E86</f>
        <v>1.6000000000000014</v>
      </c>
      <c r="O86" s="158">
        <f>F86-липень!F86</f>
        <v>5.219999999999999</v>
      </c>
      <c r="P86" s="165">
        <f t="shared" si="28"/>
        <v>3.6199999999999974</v>
      </c>
      <c r="Q86" s="165">
        <f>O86/N86*100</f>
        <v>326.2499999999996</v>
      </c>
      <c r="R86" s="37">
        <v>1.2</v>
      </c>
      <c r="S86" s="37">
        <f>#N/A</f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>#N/A</f>
        <v>0</v>
      </c>
      <c r="H87" s="162"/>
      <c r="I87" s="165">
        <f>#N/A</f>
        <v>0</v>
      </c>
      <c r="J87" s="165"/>
      <c r="K87" s="165">
        <v>18.76</v>
      </c>
      <c r="L87" s="185">
        <f>#N/A</f>
        <v>-18.76</v>
      </c>
      <c r="M87" s="207">
        <f t="shared" si="26"/>
        <v>0</v>
      </c>
      <c r="N87" s="162">
        <f>E87-квітень!E87</f>
        <v>0</v>
      </c>
      <c r="O87" s="166">
        <f>F87-квітень!F87</f>
        <v>0</v>
      </c>
      <c r="P87" s="165">
        <f>#N/A</f>
        <v>0</v>
      </c>
      <c r="Q87" s="165"/>
      <c r="R87" s="37">
        <v>0</v>
      </c>
      <c r="S87" s="37">
        <f>#N/A</f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71161.59999999999</v>
      </c>
      <c r="F88" s="189">
        <f>F74+F75+F80+F85+F86</f>
        <v>20679.450000000004</v>
      </c>
      <c r="G88" s="190">
        <f>F88-E88</f>
        <v>-50482.14999999999</v>
      </c>
      <c r="H88" s="191">
        <f>F88/E88*100</f>
        <v>29.05984407320803</v>
      </c>
      <c r="I88" s="192">
        <f>F88-D88</f>
        <v>-224976.58</v>
      </c>
      <c r="J88" s="192">
        <f>F88/D88*100</f>
        <v>8.418051044788115</v>
      </c>
      <c r="K88" s="189">
        <v>25648.99</v>
      </c>
      <c r="L88" s="298">
        <f>F88-K88</f>
        <v>-4969.539999999997</v>
      </c>
      <c r="M88" s="299">
        <f t="shared" si="26"/>
        <v>0.8062481212710522</v>
      </c>
      <c r="N88" s="189">
        <f>N74+N75+N80+N85+N86</f>
        <v>13835.000000000002</v>
      </c>
      <c r="O88" s="189">
        <f>O74+O75+O80+O85+O86</f>
        <v>2592.9099999999994</v>
      </c>
      <c r="P88" s="192">
        <f>#N/A</f>
        <v>-13824.7</v>
      </c>
      <c r="Q88" s="192">
        <f>O88/N88*100</f>
        <v>18.741669678352</v>
      </c>
      <c r="R88" s="26">
        <f>R80+R85+R86+R87</f>
        <v>4553.2</v>
      </c>
      <c r="S88" s="26">
        <f>S80+S85+S86+S87</f>
        <v>-4542.9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957560.3999999999</v>
      </c>
      <c r="F89" s="189">
        <f>F67+F88</f>
        <v>906193.61</v>
      </c>
      <c r="G89" s="190">
        <f>F89-E89</f>
        <v>-51366.78999999992</v>
      </c>
      <c r="H89" s="191">
        <f>F89/E89*100</f>
        <v>94.63566058078426</v>
      </c>
      <c r="I89" s="192">
        <f>F89-D89</f>
        <v>-696953.5200000001</v>
      </c>
      <c r="J89" s="192">
        <f>F89/D89*100</f>
        <v>56.52591662001727</v>
      </c>
      <c r="K89" s="192">
        <f>K67+K88</f>
        <v>702172.62</v>
      </c>
      <c r="L89" s="192">
        <f>L67+L88</f>
        <v>204020.99000000002</v>
      </c>
      <c r="M89" s="299">
        <f t="shared" si="26"/>
        <v>1.2905567437249261</v>
      </c>
      <c r="N89" s="190">
        <f>N67+N88</f>
        <v>137691.1</v>
      </c>
      <c r="O89" s="190">
        <f>O67+O88</f>
        <v>122047.34000000008</v>
      </c>
      <c r="P89" s="192">
        <f>#N/A</f>
        <v>-128900.27999999997</v>
      </c>
      <c r="Q89" s="192">
        <f>O89/N89*100</f>
        <v>88.63851040481198</v>
      </c>
      <c r="R89" s="26">
        <f>R67+R88</f>
        <v>112668.9</v>
      </c>
      <c r="S89" s="26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19" ht="30.75">
      <c r="B92" s="51" t="s">
        <v>53</v>
      </c>
      <c r="C92" s="28" t="e">
        <f>IF(P67&lt;0,ABS(P67/C91),0)</f>
        <v>#DIV/0!</v>
      </c>
      <c r="D92" s="4" t="s">
        <v>24</v>
      </c>
      <c r="G92" s="325"/>
      <c r="H92" s="325"/>
      <c r="I92" s="325"/>
      <c r="J92" s="325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42978</v>
      </c>
      <c r="D93" s="28">
        <v>7963.3</v>
      </c>
      <c r="G93" s="4" t="s">
        <v>58</v>
      </c>
      <c r="O93" s="313"/>
      <c r="P93" s="313"/>
    </row>
    <row r="94" spans="3:16" ht="15">
      <c r="C94" s="80">
        <v>42977</v>
      </c>
      <c r="D94" s="28">
        <v>9672.2</v>
      </c>
      <c r="G94" s="309"/>
      <c r="H94" s="309"/>
      <c r="I94" s="117"/>
      <c r="J94" s="292"/>
      <c r="K94" s="292"/>
      <c r="L94" s="292"/>
      <c r="M94" s="292"/>
      <c r="N94" s="292"/>
      <c r="O94" s="313"/>
      <c r="P94" s="313"/>
    </row>
    <row r="95" spans="3:16" ht="15.75" customHeight="1">
      <c r="C95" s="80">
        <v>42976</v>
      </c>
      <c r="D95" s="28">
        <v>5224.7</v>
      </c>
      <c r="F95" s="67"/>
      <c r="G95" s="309"/>
      <c r="H95" s="309"/>
      <c r="I95" s="117"/>
      <c r="J95" s="293"/>
      <c r="K95" s="293"/>
      <c r="L95" s="293"/>
      <c r="M95" s="293"/>
      <c r="N95" s="293"/>
      <c r="O95" s="313"/>
      <c r="P95" s="313"/>
    </row>
    <row r="96" spans="3:14" ht="15.75" customHeight="1">
      <c r="C96" s="80"/>
      <c r="F96" s="67"/>
      <c r="G96" s="314"/>
      <c r="H96" s="314"/>
      <c r="I96" s="123"/>
      <c r="J96" s="292"/>
      <c r="K96" s="292"/>
      <c r="L96" s="292"/>
      <c r="M96" s="292"/>
      <c r="N96" s="292"/>
    </row>
    <row r="97" spans="2:14" ht="18" customHeight="1">
      <c r="B97" s="315" t="s">
        <v>56</v>
      </c>
      <c r="C97" s="316"/>
      <c r="D97" s="132">
        <v>53176.6</v>
      </c>
      <c r="E97" s="68"/>
      <c r="F97" s="124" t="s">
        <v>105</v>
      </c>
      <c r="G97" s="309"/>
      <c r="H97" s="309"/>
      <c r="I97" s="125"/>
      <c r="J97" s="292"/>
      <c r="K97" s="292"/>
      <c r="L97" s="292"/>
      <c r="M97" s="292"/>
      <c r="N97" s="292"/>
    </row>
    <row r="98" spans="6:13" ht="9.75" customHeight="1" hidden="1">
      <c r="F98" s="67"/>
      <c r="G98" s="309"/>
      <c r="H98" s="309"/>
      <c r="I98" s="67"/>
      <c r="J98" s="68"/>
      <c r="K98" s="68"/>
      <c r="L98" s="68"/>
      <c r="M98" s="68"/>
    </row>
    <row r="99" spans="2:13" ht="22.5" customHeight="1" hidden="1">
      <c r="B99" s="310" t="s">
        <v>59</v>
      </c>
      <c r="C99" s="311"/>
      <c r="D99" s="79">
        <v>0</v>
      </c>
      <c r="E99" s="50" t="s">
        <v>24</v>
      </c>
      <c r="F99" s="67"/>
      <c r="G99" s="309"/>
      <c r="H99" s="30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806</v>
      </c>
      <c r="F100" s="201">
        <f>F48+F51+F52</f>
        <v>1220.7900000000002</v>
      </c>
      <c r="G100" s="67">
        <f>G48+G51+G52</f>
        <v>414.79</v>
      </c>
      <c r="H100" s="68"/>
      <c r="I100" s="68"/>
      <c r="N100" s="28">
        <f>N48+N51+N52</f>
        <v>99</v>
      </c>
      <c r="O100" s="200">
        <f>O48+O51+O52</f>
        <v>174.09999999999997</v>
      </c>
      <c r="P100" s="28">
        <f>P48+P51+P52</f>
        <v>75.09999999999997</v>
      </c>
    </row>
    <row r="101" spans="4:16" ht="15" hidden="1">
      <c r="D101" s="77"/>
      <c r="I101" s="28"/>
      <c r="O101" s="312"/>
      <c r="P101" s="312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846303.7999999999</v>
      </c>
      <c r="F102" s="227">
        <f>F9+F15+F18+F19+F23+F42+F45+F65+F59</f>
        <v>841676.8300000001</v>
      </c>
      <c r="G102" s="28">
        <f>F102-E102</f>
        <v>-4626.969999999856</v>
      </c>
      <c r="H102" s="228">
        <f>F102/E102</f>
        <v>0.9945327316266336</v>
      </c>
      <c r="I102" s="28">
        <f>F102-D102</f>
        <v>-457371.77</v>
      </c>
      <c r="J102" s="228">
        <f>F102/D102</f>
        <v>0.6479178916015921</v>
      </c>
      <c r="N102" s="28">
        <f>N9+N15+N17+N18+N19+N23+N42+N45+N65+N59</f>
        <v>118692.3</v>
      </c>
      <c r="O102" s="227">
        <f>O9+O15+O17+O18+O19+O23+O42+O45+O65+O59</f>
        <v>113857.58000000009</v>
      </c>
      <c r="P102" s="28">
        <f>O102-N102</f>
        <v>-4834.719999999914</v>
      </c>
      <c r="Q102" s="228">
        <f>O102/N102</f>
        <v>0.959266776362073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40095</v>
      </c>
      <c r="F103" s="227">
        <f>F43+F44+F46+F48+F50+F51+F52+F53+F54+F60+F64+F47+F66</f>
        <v>43813.45999999999</v>
      </c>
      <c r="G103" s="28">
        <f>G43+G44+G46+G48+G50+G51+G52+G53+G54+G60+G64+G47</f>
        <v>3723.6299999999987</v>
      </c>
      <c r="H103" s="228">
        <f>F103/E103</f>
        <v>1.092741239556054</v>
      </c>
      <c r="I103" s="28">
        <f>I43+I44+I46+I48+I50+I51+I52+I53+I54+I60+I64+I47</f>
        <v>-14623.870000000003</v>
      </c>
      <c r="J103" s="228">
        <f>F103/D103</f>
        <v>0.749684903965436</v>
      </c>
      <c r="K103" s="28">
        <f>K43+K44+K46+K48+K50+K51+K52+K53+K54+K60+K64+K47</f>
        <v>42568.869999999995</v>
      </c>
      <c r="L103" s="28">
        <f>L43+L44+L46+L48+L50+L51+L52+L53+L54+L60+L64+L47</f>
        <v>1249.759999999998</v>
      </c>
      <c r="M103" s="28">
        <f>M43+M44+M46+M48+M50+M51+M52+M53+M54+M60+M64+M47</f>
        <v>21.33040941383548</v>
      </c>
      <c r="N103" s="28">
        <f>N43+N44+N46+N48+N50+N51+N52+N53+N54+N60+N64+N47+N66</f>
        <v>5163.8</v>
      </c>
      <c r="O103" s="227">
        <f>O43+O44+O46+O48+O50+O51+O52+O53+O54+O60+O64+O47+O66</f>
        <v>5596.850000000001</v>
      </c>
      <c r="P103" s="28">
        <f>P43+P44+P46+P48+P50+P51+P52+P53+P54+P60+P64+P47</f>
        <v>432.9700000000004</v>
      </c>
      <c r="Q103" s="228">
        <f>O103/N103</f>
        <v>1.0838626592819243</v>
      </c>
    </row>
    <row r="104" spans="2:17" ht="15" hidden="1">
      <c r="B104" s="4" t="s">
        <v>118</v>
      </c>
      <c r="D104" s="28">
        <f>SUM(D102:D103)</f>
        <v>1357491.1</v>
      </c>
      <c r="E104" s="28">
        <f>#N/A</f>
        <v>886398.7999999999</v>
      </c>
      <c r="F104" s="227">
        <f>#N/A</f>
        <v>774816.3000000002</v>
      </c>
      <c r="G104" s="28">
        <f>#N/A</f>
        <v>-111577.24999999978</v>
      </c>
      <c r="H104" s="228">
        <f>F104/E104</f>
        <v>0.8741170452848088</v>
      </c>
      <c r="I104" s="28">
        <f>#N/A</f>
        <v>-582669.5499999999</v>
      </c>
      <c r="J104" s="228">
        <f>F104/D104</f>
        <v>0.5707708138933656</v>
      </c>
      <c r="K104" s="28">
        <f>#N/A</f>
        <v>42568.869999999995</v>
      </c>
      <c r="L104" s="28">
        <f>#N/A</f>
        <v>-1230.3500000000017</v>
      </c>
      <c r="M104" s="28">
        <f>#N/A</f>
        <v>11.229198428583567</v>
      </c>
      <c r="N104" s="28">
        <f>#N/A</f>
        <v>123856.1</v>
      </c>
      <c r="O104" s="227">
        <f>#N/A</f>
        <v>8780.520000000037</v>
      </c>
      <c r="P104" s="28">
        <f>#N/A</f>
        <v>-115075.57999999996</v>
      </c>
      <c r="Q104" s="228">
        <f>O104/N104</f>
        <v>0.07089291524599949</v>
      </c>
    </row>
    <row r="105" spans="4:19" ht="15" hidden="1">
      <c r="D105" s="28">
        <f>D67-D104</f>
        <v>0</v>
      </c>
      <c r="E105" s="28">
        <f>#N/A</f>
        <v>0</v>
      </c>
      <c r="F105" s="28">
        <f>#N/A</f>
        <v>23.869999999878928</v>
      </c>
      <c r="G105" s="28">
        <f>#N/A</f>
        <v>18.61999999989348</v>
      </c>
      <c r="H105" s="228"/>
      <c r="I105" s="28">
        <f>#N/A</f>
        <v>18.619999999878928</v>
      </c>
      <c r="J105" s="228"/>
      <c r="K105" s="28">
        <f>K67-K104</f>
        <v>633954.76</v>
      </c>
      <c r="L105" s="28">
        <f>#N/A</f>
        <v>99546.97</v>
      </c>
      <c r="M105" s="28">
        <f>#N/A</f>
        <v>-10.0838721941901</v>
      </c>
      <c r="N105" s="28">
        <f>#N/A</f>
        <v>0</v>
      </c>
      <c r="O105" s="28">
        <f>#N/A</f>
        <v>0</v>
      </c>
      <c r="P105" s="28">
        <f>#N/A</f>
        <v>0</v>
      </c>
      <c r="Q105" s="28"/>
      <c r="R105" s="28">
        <f>#N/A</f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91516.09999999992</v>
      </c>
    </row>
    <row r="108" spans="2:5" ht="15" hidden="1">
      <c r="B108" s="242" t="s">
        <v>153</v>
      </c>
      <c r="E108" s="28">
        <f>E88-E83-E76-E77</f>
        <v>23938.399999999994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89263.65999999999</v>
      </c>
      <c r="F111" s="189">
        <f>F88+F110</f>
        <v>40933.770000000004</v>
      </c>
      <c r="G111" s="190">
        <f>F111-E111</f>
        <v>-48329.889999999985</v>
      </c>
      <c r="H111" s="191">
        <f>F111/E111*100</f>
        <v>45.857149482779455</v>
      </c>
      <c r="I111" s="192">
        <f>F111-D111</f>
        <v>-277130.48</v>
      </c>
      <c r="J111" s="192">
        <f>F111/D111*100</f>
        <v>12.869654480187572</v>
      </c>
      <c r="K111" s="192">
        <v>3039.87</v>
      </c>
      <c r="L111" s="192">
        <f>F111-K111</f>
        <v>37893.9</v>
      </c>
      <c r="M111" s="266">
        <f>F111/K111</f>
        <v>13.46563175398948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975662.46</v>
      </c>
      <c r="F112" s="189">
        <f>F111+F67</f>
        <v>926447.93</v>
      </c>
      <c r="G112" s="190">
        <f>F112-E112</f>
        <v>-49214.52999999991</v>
      </c>
      <c r="H112" s="191">
        <f>F112/E112*100</f>
        <v>94.95578317115942</v>
      </c>
      <c r="I112" s="192">
        <f>F112-D112</f>
        <v>-749107.42</v>
      </c>
      <c r="J112" s="192">
        <f>F112/D112*100</f>
        <v>55.291991995370374</v>
      </c>
      <c r="K112" s="192">
        <f>K89+K111</f>
        <v>705212.49</v>
      </c>
      <c r="L112" s="192">
        <f>F112-K112</f>
        <v>221235.44000000006</v>
      </c>
      <c r="M112" s="266">
        <f>F112/K112</f>
        <v>1.313714579842453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>#N/A</f>
        <v>1222868.6900000002</v>
      </c>
      <c r="E113" s="241">
        <f>#N/A</f>
        <v>550655.6</v>
      </c>
      <c r="F113" s="241">
        <f>#N/A</f>
        <v>545829.08</v>
      </c>
      <c r="G113" s="241">
        <f>#N/A</f>
        <v>-4826.520000000019</v>
      </c>
      <c r="H113" s="241">
        <f>F113/E113*100</f>
        <v>99.12349570221387</v>
      </c>
      <c r="I113" s="35">
        <f>#N/A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>#N/A</f>
        <v>1222868.6900000002</v>
      </c>
      <c r="E114" s="241">
        <f>#N/A</f>
        <v>550655.6</v>
      </c>
      <c r="F114" s="241">
        <f>#N/A</f>
        <v>545829.08</v>
      </c>
      <c r="G114" s="241">
        <f>#N/A</f>
        <v>-4826.520000000019</v>
      </c>
      <c r="H114" s="241">
        <f>#N/A</f>
        <v>99.12349570221387</v>
      </c>
      <c r="I114" s="35">
        <f>#N/A</f>
        <v>-677039.6100000002</v>
      </c>
      <c r="J114" s="35">
        <f>#N/A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>#N/A</f>
        <v>-4826.520000000019</v>
      </c>
      <c r="H115" s="241">
        <f>#N/A</f>
        <v>99.12349570221387</v>
      </c>
      <c r="I115" s="35">
        <f>#N/A</f>
        <v>-677039.6100000002</v>
      </c>
      <c r="J115" s="35">
        <f>#N/A</f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>#N/A</f>
        <v>-3734.029999999999</v>
      </c>
      <c r="H116" s="241">
        <f>#N/A</f>
        <v>95.0108160470321</v>
      </c>
      <c r="I116" s="35">
        <f>#N/A</f>
        <v>-240704.93000000002</v>
      </c>
      <c r="J116" s="35">
        <f>#N/A</f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>#N/A</f>
        <v>-707.6699999999837</v>
      </c>
      <c r="H117" s="241">
        <f>#N/A</f>
        <v>99.80061079304002</v>
      </c>
      <c r="I117" s="35">
        <f>#N/A</f>
        <v>-54436.96000000002</v>
      </c>
      <c r="J117" s="35">
        <f>#N/A</f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>#N/A</f>
        <v>-16.159999999999997</v>
      </c>
      <c r="H118" s="241">
        <f>#N/A</f>
        <v>71.64912280701755</v>
      </c>
      <c r="I118" s="35">
        <f>#N/A</f>
        <v>-186.85999999999999</v>
      </c>
      <c r="J118" s="35">
        <f>#N/A</f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>#N/A</f>
        <v>0</v>
      </c>
      <c r="H119" s="241">
        <f>#N/A</f>
        <v>100</v>
      </c>
      <c r="I119" s="35">
        <f>#N/A</f>
        <v>-187142.9</v>
      </c>
      <c r="J119" s="35">
        <f>#N/A</f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>#N/A</f>
        <v>0</v>
      </c>
      <c r="H120" s="241">
        <f>#N/A</f>
        <v>100</v>
      </c>
      <c r="I120" s="35">
        <f>#N/A</f>
        <v>-178707.6</v>
      </c>
      <c r="J120" s="35">
        <f>#N/A</f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>#N/A</f>
        <v>-460.1399999999999</v>
      </c>
      <c r="H121" s="241">
        <f>#N/A</f>
        <v>89.02806292160552</v>
      </c>
      <c r="I121" s="35">
        <f>#N/A</f>
        <v>-12505.44</v>
      </c>
      <c r="J121" s="35">
        <f>#N/A</f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>#N/A</f>
        <v>165.7</v>
      </c>
      <c r="H122" s="241">
        <f>#N/A</f>
        <v>0</v>
      </c>
      <c r="I122" s="35">
        <f>#N/A</f>
        <v>165.7</v>
      </c>
      <c r="J122" s="35" t="e">
        <f>#N/A</f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>#N/A</f>
        <v>-74.22000000000003</v>
      </c>
      <c r="H123" s="241">
        <f>#N/A</f>
        <v>91.84305967688756</v>
      </c>
      <c r="I123" s="35">
        <f>#N/A</f>
        <v>-3520.6200000000003</v>
      </c>
      <c r="J123" s="35">
        <f>#N/A</f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1526318.06</v>
      </c>
      <c r="F124" s="274">
        <f>F112+F113</f>
        <v>1472277.01</v>
      </c>
      <c r="G124" s="275">
        <f>#N/A</f>
        <v>-167297.6499999999</v>
      </c>
      <c r="H124" s="274">
        <f>#N/A</f>
        <v>89.03913578798904</v>
      </c>
      <c r="I124" s="276">
        <f>#N/A</f>
        <v>-1539403.63</v>
      </c>
      <c r="J124" s="276">
        <f>#N/A</f>
        <v>46.88825345238305</v>
      </c>
      <c r="Q124" s="240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6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67" sqref="K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2" t="s">
        <v>219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85"/>
      <c r="S1" s="85"/>
    </row>
    <row r="2" spans="2:19" s="1" customFormat="1" ht="15.75" customHeight="1">
      <c r="B2" s="333"/>
      <c r="C2" s="333"/>
      <c r="D2" s="33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4"/>
      <c r="B3" s="336"/>
      <c r="C3" s="337" t="s">
        <v>0</v>
      </c>
      <c r="D3" s="338" t="s">
        <v>137</v>
      </c>
      <c r="E3" s="31"/>
      <c r="F3" s="339" t="s">
        <v>26</v>
      </c>
      <c r="G3" s="340"/>
      <c r="H3" s="340"/>
      <c r="I3" s="340"/>
      <c r="J3" s="341"/>
      <c r="K3" s="82"/>
      <c r="L3" s="82"/>
      <c r="M3" s="82"/>
      <c r="N3" s="342" t="s">
        <v>205</v>
      </c>
      <c r="O3" s="343" t="s">
        <v>207</v>
      </c>
      <c r="P3" s="343"/>
      <c r="Q3" s="343"/>
      <c r="R3" s="343"/>
      <c r="S3" s="343"/>
    </row>
    <row r="4" spans="1:19" ht="22.5" customHeight="1">
      <c r="A4" s="334"/>
      <c r="B4" s="336"/>
      <c r="C4" s="337"/>
      <c r="D4" s="338"/>
      <c r="E4" s="344" t="s">
        <v>206</v>
      </c>
      <c r="F4" s="326" t="s">
        <v>33</v>
      </c>
      <c r="G4" s="317" t="s">
        <v>208</v>
      </c>
      <c r="H4" s="328" t="s">
        <v>209</v>
      </c>
      <c r="I4" s="317" t="s">
        <v>125</v>
      </c>
      <c r="J4" s="328" t="s">
        <v>126</v>
      </c>
      <c r="K4" s="84" t="s">
        <v>128</v>
      </c>
      <c r="L4" s="202" t="s">
        <v>111</v>
      </c>
      <c r="M4" s="89" t="s">
        <v>63</v>
      </c>
      <c r="N4" s="328"/>
      <c r="O4" s="330" t="s">
        <v>213</v>
      </c>
      <c r="P4" s="317" t="s">
        <v>49</v>
      </c>
      <c r="Q4" s="319" t="s">
        <v>48</v>
      </c>
      <c r="R4" s="90" t="s">
        <v>64</v>
      </c>
      <c r="S4" s="90"/>
    </row>
    <row r="5" spans="1:19" ht="67.5" customHeight="1">
      <c r="A5" s="335"/>
      <c r="B5" s="336"/>
      <c r="C5" s="337"/>
      <c r="D5" s="338"/>
      <c r="E5" s="345"/>
      <c r="F5" s="327"/>
      <c r="G5" s="318"/>
      <c r="H5" s="329"/>
      <c r="I5" s="318"/>
      <c r="J5" s="329"/>
      <c r="K5" s="320" t="s">
        <v>212</v>
      </c>
      <c r="L5" s="321"/>
      <c r="M5" s="322"/>
      <c r="N5" s="329"/>
      <c r="O5" s="331"/>
      <c r="P5" s="318"/>
      <c r="Q5" s="319"/>
      <c r="R5" s="323" t="s">
        <v>202</v>
      </c>
      <c r="S5" s="324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727340.2</v>
      </c>
      <c r="F8" s="149">
        <f>F9+F15+F18+F19+F23+F17</f>
        <v>725573.05</v>
      </c>
      <c r="G8" s="149">
        <f aca="true" t="shared" si="0" ref="G8:G22">F8-E8</f>
        <v>-1767.1499999999069</v>
      </c>
      <c r="H8" s="150">
        <f aca="true" t="shared" si="1" ref="H8:H15">F8/E8*100</f>
        <v>99.75703941566823</v>
      </c>
      <c r="I8" s="151">
        <f aca="true" t="shared" si="2" ref="I8:I22">F8-D8</f>
        <v>-572878.05</v>
      </c>
      <c r="J8" s="151">
        <f aca="true" t="shared" si="3" ref="J8:J16">F8/D8*100</f>
        <v>55.87989027850182</v>
      </c>
      <c r="K8" s="149">
        <v>543806.97</v>
      </c>
      <c r="L8" s="149">
        <f aca="true" t="shared" si="4" ref="L8:L14">F8-K8</f>
        <v>181766.08000000007</v>
      </c>
      <c r="M8" s="203">
        <f aca="true" t="shared" si="5" ref="M8:M14">F8/K8</f>
        <v>1.3342474260673785</v>
      </c>
      <c r="N8" s="149">
        <f>N9+N15+N18+N19+N23+N17</f>
        <v>118464.60000000003</v>
      </c>
      <c r="O8" s="149">
        <f>O9+O15+O18+O19+O23+O17</f>
        <v>116102.92999999996</v>
      </c>
      <c r="P8" s="149">
        <f aca="true" t="shared" si="6" ref="P8:P15">O8-N8</f>
        <v>-2361.670000000071</v>
      </c>
      <c r="Q8" s="149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416540</v>
      </c>
      <c r="F9" s="154">
        <v>419643.05</v>
      </c>
      <c r="G9" s="148">
        <f t="shared" si="0"/>
        <v>3103.0499999999884</v>
      </c>
      <c r="H9" s="155">
        <f t="shared" si="1"/>
        <v>100.74495846737408</v>
      </c>
      <c r="I9" s="156">
        <f t="shared" si="2"/>
        <v>-347001.95</v>
      </c>
      <c r="J9" s="156">
        <f t="shared" si="3"/>
        <v>54.73759693208721</v>
      </c>
      <c r="K9" s="225">
        <v>295409.71</v>
      </c>
      <c r="L9" s="157">
        <f t="shared" si="4"/>
        <v>124233.33999999997</v>
      </c>
      <c r="M9" s="204">
        <f t="shared" si="5"/>
        <v>1.4205458920087628</v>
      </c>
      <c r="N9" s="155">
        <f>E9-червень!E9</f>
        <v>67300</v>
      </c>
      <c r="O9" s="158">
        <f>F9-червень!F9</f>
        <v>68100.66999999998</v>
      </c>
      <c r="P9" s="159">
        <f t="shared" si="6"/>
        <v>800.6699999999837</v>
      </c>
      <c r="Q9" s="156">
        <f t="shared" si="7"/>
        <v>101.18970282317976</v>
      </c>
      <c r="R9" s="99">
        <v>71000</v>
      </c>
      <c r="S9" s="99">
        <f>O9-R9</f>
        <v>-2899.3300000000163</v>
      </c>
    </row>
    <row r="10" spans="1:19" s="6" customFormat="1" ht="15" customHeight="1">
      <c r="A10" s="8"/>
      <c r="B10" s="120" t="s">
        <v>89</v>
      </c>
      <c r="C10" s="101">
        <v>11010100</v>
      </c>
      <c r="D10" s="102">
        <v>701317</v>
      </c>
      <c r="E10" s="102">
        <v>378608</v>
      </c>
      <c r="F10" s="138">
        <v>384084.26</v>
      </c>
      <c r="G10" s="102">
        <f t="shared" si="0"/>
        <v>5476.260000000009</v>
      </c>
      <c r="H10" s="29">
        <f t="shared" si="1"/>
        <v>101.44641951569962</v>
      </c>
      <c r="I10" s="103">
        <f t="shared" si="2"/>
        <v>-317232.74</v>
      </c>
      <c r="J10" s="103">
        <f t="shared" si="3"/>
        <v>54.76614141679155</v>
      </c>
      <c r="K10" s="105">
        <v>259105.9</v>
      </c>
      <c r="L10" s="105">
        <f t="shared" si="4"/>
        <v>124978.36000000002</v>
      </c>
      <c r="M10" s="205">
        <f t="shared" si="5"/>
        <v>1.4823447092482265</v>
      </c>
      <c r="N10" s="104">
        <f>E10-червень!E10</f>
        <v>60544</v>
      </c>
      <c r="O10" s="142">
        <f>F10-червень!F10</f>
        <v>61539.5</v>
      </c>
      <c r="P10" s="105">
        <f t="shared" si="6"/>
        <v>995.5</v>
      </c>
      <c r="Q10" s="103">
        <f t="shared" si="7"/>
        <v>101.64425872093024</v>
      </c>
      <c r="R10" s="36"/>
      <c r="S10" s="99">
        <f>#N/A</f>
        <v>57142.649999999965</v>
      </c>
    </row>
    <row r="11" spans="1:19" s="6" customFormat="1" ht="15" customHeight="1">
      <c r="A11" s="8"/>
      <c r="B11" s="120" t="s">
        <v>85</v>
      </c>
      <c r="C11" s="101">
        <v>11010200</v>
      </c>
      <c r="D11" s="102">
        <v>46506</v>
      </c>
      <c r="E11" s="102">
        <v>26280</v>
      </c>
      <c r="F11" s="138">
        <v>22629.08</v>
      </c>
      <c r="G11" s="102">
        <f t="shared" si="0"/>
        <v>-3650.9199999999983</v>
      </c>
      <c r="H11" s="29">
        <f t="shared" si="1"/>
        <v>86.10761035007611</v>
      </c>
      <c r="I11" s="103">
        <f t="shared" si="2"/>
        <v>-23876.92</v>
      </c>
      <c r="J11" s="103">
        <f t="shared" si="3"/>
        <v>48.65840966756978</v>
      </c>
      <c r="K11" s="105">
        <v>21586.03</v>
      </c>
      <c r="L11" s="105">
        <f t="shared" si="4"/>
        <v>1043.050000000003</v>
      </c>
      <c r="M11" s="205">
        <f t="shared" si="5"/>
        <v>1.0483206036496755</v>
      </c>
      <c r="N11" s="104">
        <f>E11-червень!E11</f>
        <v>4080</v>
      </c>
      <c r="O11" s="142">
        <f>F11-червень!F11</f>
        <v>3543.1900000000023</v>
      </c>
      <c r="P11" s="105">
        <f t="shared" si="6"/>
        <v>-536.8099999999977</v>
      </c>
      <c r="Q11" s="103">
        <f t="shared" si="7"/>
        <v>86.8428921568628</v>
      </c>
      <c r="R11" s="36"/>
      <c r="S11" s="99">
        <f>#N/A</f>
        <v>3455.9400000000023</v>
      </c>
    </row>
    <row r="12" spans="1:19" s="6" customFormat="1" ht="15" customHeight="1">
      <c r="A12" s="8"/>
      <c r="B12" s="120" t="s">
        <v>88</v>
      </c>
      <c r="C12" s="101">
        <v>11010400</v>
      </c>
      <c r="D12" s="102">
        <v>8280</v>
      </c>
      <c r="E12" s="102">
        <v>4440</v>
      </c>
      <c r="F12" s="138">
        <v>5471.93</v>
      </c>
      <c r="G12" s="102">
        <f t="shared" si="0"/>
        <v>1031.9300000000003</v>
      </c>
      <c r="H12" s="29">
        <f t="shared" si="1"/>
        <v>123.24166666666667</v>
      </c>
      <c r="I12" s="103">
        <f t="shared" si="2"/>
        <v>-2808.0699999999997</v>
      </c>
      <c r="J12" s="103">
        <f t="shared" si="3"/>
        <v>66.08611111111111</v>
      </c>
      <c r="K12" s="105">
        <v>5837.44</v>
      </c>
      <c r="L12" s="105">
        <f t="shared" si="4"/>
        <v>-365.5099999999993</v>
      </c>
      <c r="M12" s="205">
        <f t="shared" si="5"/>
        <v>0.9373852236596866</v>
      </c>
      <c r="N12" s="104">
        <f>E12-червень!E12</f>
        <v>600</v>
      </c>
      <c r="O12" s="142">
        <f>F12-червень!F12</f>
        <v>958.9000000000005</v>
      </c>
      <c r="P12" s="105">
        <f t="shared" si="6"/>
        <v>358.90000000000055</v>
      </c>
      <c r="Q12" s="103">
        <f t="shared" si="7"/>
        <v>159.81666666666678</v>
      </c>
      <c r="R12" s="36"/>
      <c r="S12" s="99">
        <f>#N/A</f>
        <v>935.7600000000002</v>
      </c>
    </row>
    <row r="13" spans="1:19" s="6" customFormat="1" ht="15" customHeight="1">
      <c r="A13" s="8"/>
      <c r="B13" s="120" t="s">
        <v>86</v>
      </c>
      <c r="C13" s="101">
        <v>11010500</v>
      </c>
      <c r="D13" s="102">
        <v>9390</v>
      </c>
      <c r="E13" s="102">
        <v>6540</v>
      </c>
      <c r="F13" s="138">
        <v>6636.94</v>
      </c>
      <c r="G13" s="102">
        <f t="shared" si="0"/>
        <v>96.9399999999996</v>
      </c>
      <c r="H13" s="29">
        <f t="shared" si="1"/>
        <v>101.4822629969419</v>
      </c>
      <c r="I13" s="103">
        <f t="shared" si="2"/>
        <v>-2753.0600000000004</v>
      </c>
      <c r="J13" s="103">
        <f t="shared" si="3"/>
        <v>70.68093716719915</v>
      </c>
      <c r="K13" s="105">
        <v>6429.46</v>
      </c>
      <c r="L13" s="105">
        <f t="shared" si="4"/>
        <v>207.47999999999956</v>
      </c>
      <c r="M13" s="205">
        <f t="shared" si="5"/>
        <v>1.032270206207053</v>
      </c>
      <c r="N13" s="104">
        <f>E13-червень!E13</f>
        <v>1980</v>
      </c>
      <c r="O13" s="142">
        <f>F13-червень!F13</f>
        <v>1945.7699999999995</v>
      </c>
      <c r="P13" s="105">
        <f t="shared" si="6"/>
        <v>-34.23000000000047</v>
      </c>
      <c r="Q13" s="103">
        <f t="shared" si="7"/>
        <v>98.27121212121209</v>
      </c>
      <c r="R13" s="36"/>
      <c r="S13" s="99">
        <f>#N/A</f>
        <v>1728.6999999999998</v>
      </c>
    </row>
    <row r="14" spans="1:19" s="6" customFormat="1" ht="15" customHeight="1">
      <c r="A14" s="8"/>
      <c r="B14" s="120" t="s">
        <v>87</v>
      </c>
      <c r="C14" s="101">
        <v>11010900</v>
      </c>
      <c r="D14" s="102">
        <v>1152</v>
      </c>
      <c r="E14" s="102">
        <v>672</v>
      </c>
      <c r="F14" s="138">
        <v>820.83</v>
      </c>
      <c r="G14" s="102">
        <f t="shared" si="0"/>
        <v>148.83000000000004</v>
      </c>
      <c r="H14" s="29">
        <f t="shared" si="1"/>
        <v>122.14732142857143</v>
      </c>
      <c r="I14" s="103">
        <f t="shared" si="2"/>
        <v>-331.16999999999996</v>
      </c>
      <c r="J14" s="103">
        <f t="shared" si="3"/>
        <v>71.25260416666667</v>
      </c>
      <c r="K14" s="105">
        <v>2450.88</v>
      </c>
      <c r="L14" s="105">
        <f t="shared" si="4"/>
        <v>-1630.0500000000002</v>
      </c>
      <c r="M14" s="205">
        <f t="shared" si="5"/>
        <v>0.3349123580101841</v>
      </c>
      <c r="N14" s="104">
        <f>E14-червень!E14</f>
        <v>96</v>
      </c>
      <c r="O14" s="142">
        <f>F14-червень!F14</f>
        <v>113.30000000000007</v>
      </c>
      <c r="P14" s="105">
        <f t="shared" si="6"/>
        <v>17.300000000000068</v>
      </c>
      <c r="Q14" s="103">
        <f t="shared" si="7"/>
        <v>118.0208333333334</v>
      </c>
      <c r="R14" s="36"/>
      <c r="S14" s="99">
        <f>#N/A</f>
        <v>113.20000000000005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44.99</v>
      </c>
      <c r="G15" s="148">
        <f t="shared" si="0"/>
        <v>-296.01</v>
      </c>
      <c r="H15" s="155">
        <f t="shared" si="1"/>
        <v>13.193548387096774</v>
      </c>
      <c r="I15" s="156">
        <f t="shared" si="2"/>
        <v>-506.01</v>
      </c>
      <c r="J15" s="156">
        <f t="shared" si="3"/>
        <v>8.165154264972777</v>
      </c>
      <c r="K15" s="159">
        <v>309.24</v>
      </c>
      <c r="L15" s="159">
        <f aca="true" t="shared" si="8" ref="L15:L20">K15-F15</f>
        <v>264.25</v>
      </c>
      <c r="M15" s="206">
        <f>K15/F15</f>
        <v>6.873527450544565</v>
      </c>
      <c r="N15" s="162">
        <f>E15-червень!E15</f>
        <v>0</v>
      </c>
      <c r="O15" s="166">
        <f>F15-червень!F15</f>
        <v>0.4299999999999997</v>
      </c>
      <c r="P15" s="159">
        <f t="shared" si="6"/>
        <v>0.4299999999999997</v>
      </c>
      <c r="Q15" s="156"/>
      <c r="R15" s="36">
        <v>0</v>
      </c>
      <c r="S15" s="99">
        <f>#N/A</f>
        <v>0.4299999999999997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148">
        <f t="shared" si="0"/>
        <v>0</v>
      </c>
      <c r="H16" s="155" t="e">
        <f>F16/E16/100</f>
        <v>#DIV/0!</v>
      </c>
      <c r="I16" s="156">
        <f t="shared" si="2"/>
        <v>0</v>
      </c>
      <c r="J16" s="156" t="e">
        <f t="shared" si="3"/>
        <v>#DIV/0!</v>
      </c>
      <c r="K16" s="105">
        <v>381.9</v>
      </c>
      <c r="L16" s="159">
        <f t="shared" si="8"/>
        <v>381.9</v>
      </c>
      <c r="M16" s="206" t="e">
        <f>K16/F16</f>
        <v>#DIV/0!</v>
      </c>
      <c r="N16" s="162">
        <f>E16-червень!E16</f>
        <v>0</v>
      </c>
      <c r="O16" s="166">
        <f>F16-червень!F16</f>
        <v>0</v>
      </c>
      <c r="P16" s="35">
        <f>#N/A</f>
        <v>0</v>
      </c>
      <c r="Q16" s="156"/>
      <c r="R16" s="103">
        <f>O16-358.81</f>
        <v>-358.81</v>
      </c>
      <c r="S16" s="99">
        <f>#N/A</f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48">
        <f t="shared" si="0"/>
        <v>0.49</v>
      </c>
      <c r="H17" s="155"/>
      <c r="I17" s="156">
        <f t="shared" si="2"/>
        <v>0.49</v>
      </c>
      <c r="J17" s="156"/>
      <c r="K17" s="165">
        <v>0.17</v>
      </c>
      <c r="L17" s="159">
        <f t="shared" si="8"/>
        <v>-0.31999999999999995</v>
      </c>
      <c r="M17" s="206">
        <f>K17/F17</f>
        <v>0.34693877551020413</v>
      </c>
      <c r="N17" s="162">
        <f>E17-червень!E17</f>
        <v>0</v>
      </c>
      <c r="O17" s="166">
        <f>F17-червень!F17</f>
        <v>0</v>
      </c>
      <c r="P17" s="165">
        <f aca="true" t="shared" si="9" ref="P17:P25">O17-N17</f>
        <v>0</v>
      </c>
      <c r="Q17" s="156"/>
      <c r="R17" s="103"/>
      <c r="S17" s="99">
        <f>#N/A</f>
        <v>0</v>
      </c>
    </row>
    <row r="18" spans="1:19" s="6" customFormat="1" ht="30.75">
      <c r="A18" s="8"/>
      <c r="B18" s="297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2"/>
        <v>-6.540000000000006</v>
      </c>
      <c r="J18" s="156">
        <f>F18/D18*100</f>
        <v>94.768</v>
      </c>
      <c r="K18" s="159">
        <v>105.8</v>
      </c>
      <c r="L18" s="159">
        <f t="shared" si="8"/>
        <v>-12.659999999999997</v>
      </c>
      <c r="M18" s="206">
        <f>K18/F18</f>
        <v>0.8931284821880804</v>
      </c>
      <c r="N18" s="162">
        <f>E18-червень!E18</f>
        <v>0</v>
      </c>
      <c r="O18" s="166">
        <f>F18-червень!F18</f>
        <v>0</v>
      </c>
      <c r="P18" s="165">
        <f t="shared" si="9"/>
        <v>0</v>
      </c>
      <c r="Q18" s="156"/>
      <c r="R18" s="36">
        <v>0</v>
      </c>
      <c r="S18" s="99">
        <f>#N/A</f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71100</v>
      </c>
      <c r="F19" s="154">
        <v>59400.33</v>
      </c>
      <c r="G19" s="148">
        <f t="shared" si="0"/>
        <v>-11699.669999999998</v>
      </c>
      <c r="H19" s="155">
        <f>F19/E19*100</f>
        <v>83.54476793248945</v>
      </c>
      <c r="I19" s="156">
        <f t="shared" si="2"/>
        <v>-70599.67</v>
      </c>
      <c r="J19" s="156">
        <f>F19/D19*100</f>
        <v>45.69256153846154</v>
      </c>
      <c r="K19" s="159">
        <v>54291.2</v>
      </c>
      <c r="L19" s="159">
        <f t="shared" si="8"/>
        <v>-5109.130000000005</v>
      </c>
      <c r="M19" s="211">
        <f>F19/K19</f>
        <v>1.0941060429682896</v>
      </c>
      <c r="N19" s="162">
        <f>E19-червень!E19</f>
        <v>11500</v>
      </c>
      <c r="O19" s="166">
        <f>F19-червень!F19</f>
        <v>5440.220000000001</v>
      </c>
      <c r="P19" s="165">
        <f t="shared" si="9"/>
        <v>-6059.779999999999</v>
      </c>
      <c r="Q19" s="156">
        <f aca="true" t="shared" si="10" ref="Q19:Q24">O19/N19*100</f>
        <v>47.30626086956523</v>
      </c>
      <c r="R19" s="291">
        <v>8800</v>
      </c>
      <c r="S19" s="99">
        <f>#N/A</f>
        <v>-3359.8099999999977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42450</v>
      </c>
      <c r="F20" s="199">
        <v>36347.96</v>
      </c>
      <c r="G20" s="250">
        <f t="shared" si="0"/>
        <v>-6102.040000000001</v>
      </c>
      <c r="H20" s="193">
        <f>F20/E20*100</f>
        <v>85.62534746760895</v>
      </c>
      <c r="I20" s="251">
        <f t="shared" si="2"/>
        <v>-40152.04</v>
      </c>
      <c r="J20" s="251">
        <f>F20/D20*100</f>
        <v>47.51367320261438</v>
      </c>
      <c r="K20" s="252">
        <v>54291.2</v>
      </c>
      <c r="L20" s="164">
        <f t="shared" si="8"/>
        <v>17943.239999999998</v>
      </c>
      <c r="M20" s="253">
        <f>F20/K20</f>
        <v>0.6695000294707062</v>
      </c>
      <c r="N20" s="193">
        <f>E20-червень!E20</f>
        <v>6550</v>
      </c>
      <c r="O20" s="177">
        <f>F20-червень!F20</f>
        <v>5112.700000000001</v>
      </c>
      <c r="P20" s="164">
        <f t="shared" si="9"/>
        <v>-1437.2999999999993</v>
      </c>
      <c r="Q20" s="251">
        <f t="shared" si="10"/>
        <v>78.05648854961834</v>
      </c>
      <c r="R20" s="103">
        <v>4450</v>
      </c>
      <c r="S20" s="103">
        <f>#N/A</f>
        <v>662.7400000000016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5850</v>
      </c>
      <c r="F21" s="199">
        <v>4942.32</v>
      </c>
      <c r="G21" s="250">
        <f t="shared" si="0"/>
        <v>-907.6800000000003</v>
      </c>
      <c r="H21" s="193">
        <f>F21/E21*100</f>
        <v>84.48410256410256</v>
      </c>
      <c r="I21" s="251">
        <f t="shared" si="2"/>
        <v>-5757.68</v>
      </c>
      <c r="J21" s="251">
        <f>F21/D21*100</f>
        <v>46.18990654205607</v>
      </c>
      <c r="K21" s="252">
        <v>0</v>
      </c>
      <c r="L21" s="164">
        <f>#N/A</f>
        <v>4942.32</v>
      </c>
      <c r="M21" s="253"/>
      <c r="N21" s="193">
        <f>E21-червень!E21</f>
        <v>950</v>
      </c>
      <c r="O21" s="177">
        <f>F21-червень!F21</f>
        <v>193.98999999999978</v>
      </c>
      <c r="P21" s="164">
        <f t="shared" si="9"/>
        <v>-756.0100000000002</v>
      </c>
      <c r="Q21" s="251">
        <f t="shared" si="10"/>
        <v>20.419999999999977</v>
      </c>
      <c r="R21" s="103">
        <v>900</v>
      </c>
      <c r="S21" s="103">
        <f>#N/A</f>
        <v>-706.0100000000002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22800</v>
      </c>
      <c r="F22" s="199">
        <v>18110.05</v>
      </c>
      <c r="G22" s="250">
        <f t="shared" si="0"/>
        <v>-4689.950000000001</v>
      </c>
      <c r="H22" s="193">
        <f>F22/E22*100</f>
        <v>79.43004385964912</v>
      </c>
      <c r="I22" s="251">
        <f t="shared" si="2"/>
        <v>-24689.95</v>
      </c>
      <c r="J22" s="251">
        <f>F22/D22*100</f>
        <v>42.313200934579434</v>
      </c>
      <c r="K22" s="252">
        <v>0</v>
      </c>
      <c r="L22" s="164">
        <f>#N/A</f>
        <v>18110.05</v>
      </c>
      <c r="M22" s="253"/>
      <c r="N22" s="193">
        <f>E22-червень!E22</f>
        <v>4000</v>
      </c>
      <c r="O22" s="177">
        <f>F22-червень!F22</f>
        <v>133.52999999999884</v>
      </c>
      <c r="P22" s="164">
        <f t="shared" si="9"/>
        <v>-3866.470000000001</v>
      </c>
      <c r="Q22" s="251">
        <f t="shared" si="10"/>
        <v>3.338249999999971</v>
      </c>
      <c r="R22" s="103">
        <v>3800</v>
      </c>
      <c r="S22" s="103">
        <f>#N/A</f>
        <v>-3666.470000000001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239289.2</v>
      </c>
      <c r="F23" s="221">
        <f>F24+F32+F33+F34+F35</f>
        <v>246365.72999999998</v>
      </c>
      <c r="G23" s="148">
        <f>#N/A</f>
        <v>7076.229999999981</v>
      </c>
      <c r="H23" s="155">
        <f>#N/A</f>
        <v>102.95718736992725</v>
      </c>
      <c r="I23" s="156">
        <f>#N/A</f>
        <v>-154764.66999999998</v>
      </c>
      <c r="J23" s="156">
        <f>#N/A</f>
        <v>61.417836756703124</v>
      </c>
      <c r="K23" s="156">
        <v>193690.84</v>
      </c>
      <c r="L23" s="159">
        <f>#N/A</f>
        <v>52674.59</v>
      </c>
      <c r="M23" s="207">
        <f>#N/A</f>
        <v>1.2719518899293327</v>
      </c>
      <c r="N23" s="155">
        <f>E23-червень!E23</f>
        <v>39664.600000000035</v>
      </c>
      <c r="O23" s="158">
        <f>F23-червень!F23</f>
        <v>42561.609999999986</v>
      </c>
      <c r="P23" s="159">
        <f t="shared" si="9"/>
        <v>2897.009999999951</v>
      </c>
      <c r="Q23" s="156">
        <f t="shared" si="10"/>
        <v>107.30376708702458</v>
      </c>
      <c r="R23" s="285">
        <f>R24+R33+R35</f>
        <v>22714</v>
      </c>
      <c r="S23" s="291">
        <f>#N/A</f>
        <v>19847.309999999998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120070.9</v>
      </c>
      <c r="F24" s="221">
        <f>F25+F28+F29</f>
        <v>120635.05</v>
      </c>
      <c r="G24" s="148">
        <f>#N/A</f>
        <v>563.8000000000029</v>
      </c>
      <c r="H24" s="155">
        <f>#N/A</f>
        <v>100.46955590405335</v>
      </c>
      <c r="I24" s="156">
        <f>#N/A</f>
        <v>-85986.3</v>
      </c>
      <c r="J24" s="156">
        <f>#N/A</f>
        <v>58.384530130044865</v>
      </c>
      <c r="K24" s="156">
        <v>105956.73</v>
      </c>
      <c r="L24" s="159">
        <f>#N/A</f>
        <v>14677.970000000001</v>
      </c>
      <c r="M24" s="207">
        <f>#N/A</f>
        <v>1.138527963254434</v>
      </c>
      <c r="N24" s="155">
        <f>E24-червень!E24</f>
        <v>21398</v>
      </c>
      <c r="O24" s="158">
        <f>F24-червень!F24</f>
        <v>21241.380000000005</v>
      </c>
      <c r="P24" s="159">
        <f t="shared" si="9"/>
        <v>-156.61999999999534</v>
      </c>
      <c r="Q24" s="156">
        <f t="shared" si="10"/>
        <v>99.26806243574168</v>
      </c>
      <c r="R24" s="290">
        <f>R25+R28+R29</f>
        <v>15007</v>
      </c>
      <c r="S24" s="290">
        <f>#N/A</f>
        <v>6234.029999999999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15199.1</v>
      </c>
      <c r="F25" s="170">
        <v>15862.36</v>
      </c>
      <c r="G25" s="169">
        <f>#N/A</f>
        <v>662.8999999999996</v>
      </c>
      <c r="H25" s="171">
        <f>#N/A</f>
        <v>104.3614424538295</v>
      </c>
      <c r="I25" s="172">
        <f>#N/A</f>
        <v>-6947</v>
      </c>
      <c r="J25" s="172">
        <f>#N/A</f>
        <v>69.54272436318996</v>
      </c>
      <c r="K25" s="173">
        <v>13870.14</v>
      </c>
      <c r="L25" s="164">
        <f>#N/A</f>
        <v>1991.8600000000006</v>
      </c>
      <c r="M25" s="213">
        <f>#N/A</f>
        <v>1.1436077790130454</v>
      </c>
      <c r="N25" s="193">
        <f>E25-червень!E25</f>
        <v>4810</v>
      </c>
      <c r="O25" s="177">
        <f>F25-червень!F25</f>
        <v>4776.83</v>
      </c>
      <c r="P25" s="175">
        <f t="shared" si="9"/>
        <v>-33.17000000000007</v>
      </c>
      <c r="Q25" s="172">
        <f>O25/N25</f>
        <v>0.9931039501039501</v>
      </c>
      <c r="R25" s="103">
        <v>800</v>
      </c>
      <c r="S25" s="103">
        <f>#N/A</f>
        <v>3976.4699999999993</v>
      </c>
    </row>
    <row r="26" spans="1:19" s="6" customFormat="1" ht="18" customHeight="1">
      <c r="A26" s="8"/>
      <c r="B26" s="194" t="s">
        <v>107</v>
      </c>
      <c r="C26" s="195"/>
      <c r="D26" s="196">
        <v>1822.3</v>
      </c>
      <c r="E26" s="196">
        <v>1160</v>
      </c>
      <c r="F26" s="161">
        <v>436.63</v>
      </c>
      <c r="G26" s="196">
        <f>#N/A</f>
        <v>-764.45</v>
      </c>
      <c r="H26" s="197">
        <f>#N/A</f>
        <v>34.099137931034484</v>
      </c>
      <c r="I26" s="198">
        <f>#N/A</f>
        <v>-1426.75</v>
      </c>
      <c r="J26" s="198">
        <f>#N/A</f>
        <v>21.706085715853593</v>
      </c>
      <c r="K26" s="198">
        <v>537.83</v>
      </c>
      <c r="L26" s="198">
        <f>#N/A</f>
        <v>-142.28000000000003</v>
      </c>
      <c r="M26" s="226">
        <f>#N/A</f>
        <v>0.7354554413104513</v>
      </c>
      <c r="N26" s="234">
        <f>E26-червень!E26</f>
        <v>450</v>
      </c>
      <c r="O26" s="234">
        <f>F26-червень!F26</f>
        <v>223.37</v>
      </c>
      <c r="P26" s="198">
        <f>#N/A</f>
        <v>-267.71</v>
      </c>
      <c r="Q26" s="198">
        <f>#N/A</f>
        <v>40.5088888888889</v>
      </c>
      <c r="R26" s="103"/>
      <c r="S26" s="103">
        <f>#N/A</f>
        <v>182.29000000000002</v>
      </c>
    </row>
    <row r="27" spans="1:19" s="6" customFormat="1" ht="18" customHeight="1">
      <c r="A27" s="8"/>
      <c r="B27" s="194" t="s">
        <v>108</v>
      </c>
      <c r="C27" s="195"/>
      <c r="D27" s="196">
        <v>20986.7</v>
      </c>
      <c r="E27" s="196">
        <v>14039.1</v>
      </c>
      <c r="F27" s="161">
        <v>15425.73</v>
      </c>
      <c r="G27" s="196">
        <f>#N/A</f>
        <v>1315.789999999999</v>
      </c>
      <c r="H27" s="197">
        <f>#N/A</f>
        <v>109.37232443675164</v>
      </c>
      <c r="I27" s="198">
        <f>#N/A</f>
        <v>-5631.810000000001</v>
      </c>
      <c r="J27" s="198">
        <f>#N/A</f>
        <v>73.16486155517542</v>
      </c>
      <c r="K27" s="198">
        <v>13332.31</v>
      </c>
      <c r="L27" s="198">
        <f>#N/A</f>
        <v>2022.58</v>
      </c>
      <c r="M27" s="226">
        <f>#N/A</f>
        <v>1.1517051433697536</v>
      </c>
      <c r="N27" s="234">
        <f>E27-червень!E27</f>
        <v>4360</v>
      </c>
      <c r="O27" s="234">
        <f>F27-червень!F27</f>
        <v>4553.469999999999</v>
      </c>
      <c r="P27" s="198">
        <f>#N/A</f>
        <v>122.6299999999992</v>
      </c>
      <c r="Q27" s="198">
        <f>#N/A</f>
        <v>102.81261467889907</v>
      </c>
      <c r="R27" s="103"/>
      <c r="S27" s="103">
        <f>#N/A</f>
        <v>4482.629999999999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256.8</v>
      </c>
      <c r="F28" s="170">
        <v>-40.81</v>
      </c>
      <c r="G28" s="169">
        <f>#N/A</f>
        <v>-297.6</v>
      </c>
      <c r="H28" s="171">
        <f>#N/A</f>
        <v>-15.887850467289718</v>
      </c>
      <c r="I28" s="172">
        <f>#N/A</f>
        <v>-860.8</v>
      </c>
      <c r="J28" s="172">
        <f>#N/A</f>
        <v>-4.975609756097561</v>
      </c>
      <c r="K28" s="172">
        <v>478.8</v>
      </c>
      <c r="L28" s="172">
        <f>#N/A</f>
        <v>-519.6</v>
      </c>
      <c r="M28" s="210">
        <f>#N/A</f>
        <v>-0.08521303258145363</v>
      </c>
      <c r="N28" s="193">
        <f>E28-червень!E28</f>
        <v>123</v>
      </c>
      <c r="O28" s="177">
        <f>F28-червень!F28</f>
        <v>48.42</v>
      </c>
      <c r="P28" s="175">
        <f>#N/A</f>
        <v>-74.57</v>
      </c>
      <c r="Q28" s="172">
        <f>O28/N28*100</f>
        <v>39.36585365853659</v>
      </c>
      <c r="R28" s="103">
        <v>-25</v>
      </c>
      <c r="S28" s="103">
        <f>#N/A</f>
        <v>73.43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104615</v>
      </c>
      <c r="F29" s="170">
        <v>104813.5</v>
      </c>
      <c r="G29" s="169">
        <f>#N/A</f>
        <v>198.5</v>
      </c>
      <c r="H29" s="171">
        <f>#N/A</f>
        <v>100.18974334464465</v>
      </c>
      <c r="I29" s="172">
        <f>#N/A</f>
        <v>-78178.5</v>
      </c>
      <c r="J29" s="172">
        <f>#N/A</f>
        <v>57.277640552592466</v>
      </c>
      <c r="K29" s="173">
        <v>91607.79</v>
      </c>
      <c r="L29" s="173">
        <f>#N/A</f>
        <v>13205.710000000006</v>
      </c>
      <c r="M29" s="209">
        <f>#N/A</f>
        <v>1.1441548802781947</v>
      </c>
      <c r="N29" s="193">
        <f>E29-червень!E29</f>
        <v>16465</v>
      </c>
      <c r="O29" s="177">
        <f>F29-червень!F29</f>
        <v>16416.130000000005</v>
      </c>
      <c r="P29" s="175">
        <f>#N/A</f>
        <v>-48.86999999999534</v>
      </c>
      <c r="Q29" s="172">
        <f>O29/N29*100</f>
        <v>99.7031885818403</v>
      </c>
      <c r="R29" s="103">
        <v>14232</v>
      </c>
      <c r="S29" s="103">
        <f>#N/A</f>
        <v>2184.1300000000047</v>
      </c>
    </row>
    <row r="30" spans="1:19" s="6" customFormat="1" ht="18" customHeight="1">
      <c r="A30" s="8"/>
      <c r="B30" s="194" t="s">
        <v>109</v>
      </c>
      <c r="C30" s="195"/>
      <c r="D30" s="196">
        <v>57533</v>
      </c>
      <c r="E30" s="196">
        <v>32715</v>
      </c>
      <c r="F30" s="161">
        <v>35855.88</v>
      </c>
      <c r="G30" s="196">
        <f>#N/A</f>
        <v>3081.6900000000023</v>
      </c>
      <c r="H30" s="197">
        <f>#N/A</f>
        <v>109.41980742778543</v>
      </c>
      <c r="I30" s="198">
        <f>#N/A</f>
        <v>-21736.309999999998</v>
      </c>
      <c r="J30" s="198">
        <f>#N/A</f>
        <v>62.219404515669275</v>
      </c>
      <c r="K30" s="198">
        <v>29285.76</v>
      </c>
      <c r="L30" s="198">
        <f>#N/A</f>
        <v>6510.930000000004</v>
      </c>
      <c r="M30" s="226">
        <f>#N/A</f>
        <v>1.2223240919819054</v>
      </c>
      <c r="N30" s="234">
        <f>E30-червень!E30</f>
        <v>5935</v>
      </c>
      <c r="O30" s="234">
        <f>F30-червень!F30</f>
        <v>5197.929999999997</v>
      </c>
      <c r="P30" s="198">
        <f>#N/A</f>
        <v>-796.2599999999984</v>
      </c>
      <c r="Q30" s="198">
        <f>O30/N30*100</f>
        <v>87.58096040438073</v>
      </c>
      <c r="R30" s="106"/>
      <c r="S30" s="99">
        <f>#N/A</f>
        <v>5138.740000000002</v>
      </c>
    </row>
    <row r="31" spans="1:19" s="6" customFormat="1" ht="18" customHeight="1">
      <c r="A31" s="8"/>
      <c r="B31" s="194" t="s">
        <v>110</v>
      </c>
      <c r="C31" s="195"/>
      <c r="D31" s="196">
        <v>125459</v>
      </c>
      <c r="E31" s="196">
        <v>71900</v>
      </c>
      <c r="F31" s="161">
        <v>68957.62</v>
      </c>
      <c r="G31" s="196">
        <f>#N/A</f>
        <v>-3451</v>
      </c>
      <c r="H31" s="197">
        <f>#N/A</f>
        <v>95.20027816411682</v>
      </c>
      <c r="I31" s="198">
        <f>#N/A</f>
        <v>-57010</v>
      </c>
      <c r="J31" s="198">
        <f>#N/A</f>
        <v>54.558859866569954</v>
      </c>
      <c r="K31" s="198">
        <v>62322.03</v>
      </c>
      <c r="L31" s="198">
        <f>#N/A</f>
        <v>6126.970000000001</v>
      </c>
      <c r="M31" s="226">
        <f>#N/A</f>
        <v>1.0983114638595695</v>
      </c>
      <c r="N31" s="234">
        <f>E31-червень!E31</f>
        <v>10530</v>
      </c>
      <c r="O31" s="234">
        <f>F31-червень!F31</f>
        <v>11218.199999999997</v>
      </c>
      <c r="P31" s="198">
        <f>#N/A</f>
        <v>179.58000000000175</v>
      </c>
      <c r="Q31" s="198">
        <f>O31/N31*100</f>
        <v>106.5356125356125</v>
      </c>
      <c r="R31" s="106"/>
      <c r="S31" s="99">
        <f>#N/A</f>
        <v>10709.580000000002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>#N/A</f>
        <v>0.2</v>
      </c>
      <c r="H32" s="155"/>
      <c r="I32" s="156">
        <f>#N/A</f>
        <v>0.2</v>
      </c>
      <c r="J32" s="156"/>
      <c r="K32" s="165">
        <v>0.15</v>
      </c>
      <c r="L32" s="156">
        <f>#N/A</f>
        <v>0.05000000000000002</v>
      </c>
      <c r="M32" s="208"/>
      <c r="N32" s="155">
        <f>E32-червень!E32</f>
        <v>0</v>
      </c>
      <c r="O32" s="158">
        <f>F32-червень!F32</f>
        <v>0</v>
      </c>
      <c r="P32" s="159">
        <f>#N/A</f>
        <v>0</v>
      </c>
      <c r="Q32" s="156"/>
      <c r="R32" s="290"/>
      <c r="S32" s="290">
        <f>#N/A</f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55.6</v>
      </c>
      <c r="F33" s="154">
        <v>86.45</v>
      </c>
      <c r="G33" s="148">
        <f>#N/A</f>
        <v>30.85</v>
      </c>
      <c r="H33" s="155">
        <f>#N/A</f>
        <v>155.48561151079136</v>
      </c>
      <c r="I33" s="156">
        <f>#N/A</f>
        <v>-28.549999999999997</v>
      </c>
      <c r="J33" s="156">
        <f>#N/A</f>
        <v>75.17391304347827</v>
      </c>
      <c r="K33" s="156">
        <v>65.62</v>
      </c>
      <c r="L33" s="156">
        <f>#N/A</f>
        <v>20.83</v>
      </c>
      <c r="M33" s="208">
        <f>F33/K33</f>
        <v>1.3174337092349893</v>
      </c>
      <c r="N33" s="155">
        <f>E33-червень!E33</f>
        <v>9.600000000000001</v>
      </c>
      <c r="O33" s="158">
        <f>F33-червень!F33</f>
        <v>7.219999999999999</v>
      </c>
      <c r="P33" s="159">
        <f>#N/A</f>
        <v>-2.3800000000000026</v>
      </c>
      <c r="Q33" s="156">
        <f aca="true" t="shared" si="11" ref="Q33:Q41">O33/N33*100</f>
        <v>75.20833333333331</v>
      </c>
      <c r="R33" s="290">
        <v>7</v>
      </c>
      <c r="S33" s="290">
        <f>#N/A</f>
        <v>0.21999999999999886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-34.92</v>
      </c>
      <c r="G34" s="148">
        <f>#N/A</f>
        <v>-34.92</v>
      </c>
      <c r="H34" s="155"/>
      <c r="I34" s="156">
        <f>#N/A</f>
        <v>-34.92</v>
      </c>
      <c r="J34" s="156"/>
      <c r="K34" s="156">
        <v>-138.73</v>
      </c>
      <c r="L34" s="156">
        <f>#N/A</f>
        <v>103.80999999999999</v>
      </c>
      <c r="M34" s="208">
        <f>F34/K34</f>
        <v>0.2517119584805017</v>
      </c>
      <c r="N34" s="155">
        <f>E34-червень!E34</f>
        <v>0</v>
      </c>
      <c r="O34" s="158">
        <f>F34-червень!F34</f>
        <v>-3.6000000000000014</v>
      </c>
      <c r="P34" s="159">
        <f>#N/A</f>
        <v>-3.6000000000000014</v>
      </c>
      <c r="Q34" s="156" t="e">
        <f t="shared" si="11"/>
        <v>#DIV/0!</v>
      </c>
      <c r="R34" s="290"/>
      <c r="S34" s="290">
        <f>#N/A</f>
        <v>-3.6000000000000014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119162.7</v>
      </c>
      <c r="F35" s="161">
        <v>125678.95</v>
      </c>
      <c r="G35" s="160">
        <f>#N/A</f>
        <v>6516.300000000003</v>
      </c>
      <c r="H35" s="162">
        <f>#N/A</f>
        <v>105.46840580147983</v>
      </c>
      <c r="I35" s="163">
        <f>#N/A</f>
        <v>-68715.1</v>
      </c>
      <c r="J35" s="163">
        <f>#N/A</f>
        <v>64.65165352240628</v>
      </c>
      <c r="K35" s="176">
        <v>87807.07</v>
      </c>
      <c r="L35" s="176">
        <f>F35-K35</f>
        <v>37871.87999999999</v>
      </c>
      <c r="M35" s="224">
        <f>F35/K35</f>
        <v>1.4313078662116843</v>
      </c>
      <c r="N35" s="155">
        <f>E35-червень!E35</f>
        <v>18257</v>
      </c>
      <c r="O35" s="158">
        <f>F35-червень!F35</f>
        <v>21316.61</v>
      </c>
      <c r="P35" s="165">
        <f>#N/A</f>
        <v>3059.6600000000035</v>
      </c>
      <c r="Q35" s="163">
        <f t="shared" si="11"/>
        <v>116.75855836117654</v>
      </c>
      <c r="R35" s="290">
        <v>7700</v>
      </c>
      <c r="S35" s="290">
        <f>#N/A</f>
        <v>13616.660000000003</v>
      </c>
    </row>
    <row r="36" spans="1:19" s="6" customFormat="1" ht="15" customHeight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>#N/A</f>
        <v>0.01</v>
      </c>
      <c r="H36" s="104"/>
      <c r="I36" s="103">
        <f>#N/A</f>
        <v>0.01</v>
      </c>
      <c r="J36" s="103"/>
      <c r="K36" s="126">
        <v>0.22</v>
      </c>
      <c r="L36" s="126">
        <f>#N/A</f>
        <v>-0.21</v>
      </c>
      <c r="M36" s="214">
        <f>#N/A</f>
        <v>0.045454545454545456</v>
      </c>
      <c r="N36" s="104">
        <f>E36-червень!E36</f>
        <v>0</v>
      </c>
      <c r="O36" s="142">
        <f>F36-червень!F36</f>
        <v>0</v>
      </c>
      <c r="P36" s="105">
        <f>#N/A</f>
        <v>0</v>
      </c>
      <c r="Q36" s="163" t="e">
        <f t="shared" si="11"/>
        <v>#DIV/0!</v>
      </c>
      <c r="R36" s="106"/>
      <c r="S36" s="106"/>
    </row>
    <row r="37" spans="1:19" s="6" customFormat="1" ht="15" customHeight="1">
      <c r="A37" s="8"/>
      <c r="B37" s="49" t="s">
        <v>91</v>
      </c>
      <c r="C37" s="101">
        <v>18050300</v>
      </c>
      <c r="D37" s="102">
        <v>41000</v>
      </c>
      <c r="E37" s="102">
        <v>23270</v>
      </c>
      <c r="F37" s="138">
        <v>24091.93</v>
      </c>
      <c r="G37" s="102">
        <f>#N/A</f>
        <v>685.7799999999988</v>
      </c>
      <c r="H37" s="104">
        <f>#N/A</f>
        <v>102.94705629565964</v>
      </c>
      <c r="I37" s="103">
        <f>#N/A</f>
        <v>-17044.22</v>
      </c>
      <c r="J37" s="103">
        <f>#N/A</f>
        <v>58.42873170731707</v>
      </c>
      <c r="K37" s="126">
        <v>21754.51</v>
      </c>
      <c r="L37" s="126">
        <f>#N/A</f>
        <v>2201.2700000000004</v>
      </c>
      <c r="M37" s="214">
        <f>#N/A</f>
        <v>1.1011868343621622</v>
      </c>
      <c r="N37" s="104">
        <f>E37-червень!E37</f>
        <v>3250</v>
      </c>
      <c r="O37" s="142">
        <f>F37-червень!F37</f>
        <v>3803.869999999999</v>
      </c>
      <c r="P37" s="105">
        <f>#N/A</f>
        <v>417.7199999999975</v>
      </c>
      <c r="Q37" s="163">
        <f t="shared" si="11"/>
        <v>117.04215384615382</v>
      </c>
      <c r="R37" s="106"/>
      <c r="S37" s="106"/>
    </row>
    <row r="38" spans="1:19" s="6" customFormat="1" ht="15" customHeight="1">
      <c r="A38" s="8"/>
      <c r="B38" s="49" t="s">
        <v>92</v>
      </c>
      <c r="C38" s="101">
        <v>18050400</v>
      </c>
      <c r="D38" s="102">
        <v>153339.1</v>
      </c>
      <c r="E38" s="102">
        <v>95860</v>
      </c>
      <c r="F38" s="138">
        <v>101556.93</v>
      </c>
      <c r="G38" s="102">
        <f>#N/A</f>
        <v>4988.110000000001</v>
      </c>
      <c r="H38" s="104">
        <f>#N/A</f>
        <v>105.20353640726059</v>
      </c>
      <c r="I38" s="103">
        <f>#N/A</f>
        <v>-52490.990000000005</v>
      </c>
      <c r="J38" s="103">
        <f>#N/A</f>
        <v>65.76803307179969</v>
      </c>
      <c r="K38" s="126">
        <v>66031.82</v>
      </c>
      <c r="L38" s="126">
        <f>#N/A</f>
        <v>34816.28999999999</v>
      </c>
      <c r="M38" s="214">
        <f>#N/A</f>
        <v>1.5272653396498839</v>
      </c>
      <c r="N38" s="104">
        <f>E38-червень!E38</f>
        <v>15000</v>
      </c>
      <c r="O38" s="142">
        <f>F38-червень!F38</f>
        <v>17506.15999999999</v>
      </c>
      <c r="P38" s="105">
        <f>#N/A</f>
        <v>1797.3399999999965</v>
      </c>
      <c r="Q38" s="163">
        <f t="shared" si="11"/>
        <v>116.70773333333327</v>
      </c>
      <c r="R38" s="106"/>
      <c r="S38" s="106"/>
    </row>
    <row r="39" spans="1:19" s="6" customFormat="1" ht="15" customHeight="1">
      <c r="A39" s="8"/>
      <c r="B39" s="49" t="s">
        <v>93</v>
      </c>
      <c r="C39" s="101">
        <v>18050500</v>
      </c>
      <c r="D39" s="102">
        <v>55</v>
      </c>
      <c r="E39" s="102">
        <v>32.7</v>
      </c>
      <c r="F39" s="138">
        <v>30.07</v>
      </c>
      <c r="G39" s="102">
        <f>#N/A</f>
        <v>-2.6300000000000026</v>
      </c>
      <c r="H39" s="104">
        <f>#N/A</f>
        <v>91.95718654434249</v>
      </c>
      <c r="I39" s="103">
        <f>#N/A</f>
        <v>-24.93</v>
      </c>
      <c r="J39" s="103">
        <f>#N/A</f>
        <v>54.67272727272727</v>
      </c>
      <c r="K39" s="126">
        <v>20.52</v>
      </c>
      <c r="L39" s="126">
        <f>#N/A</f>
        <v>9.55</v>
      </c>
      <c r="M39" s="214">
        <f>#N/A</f>
        <v>1.4653996101364524</v>
      </c>
      <c r="N39" s="104">
        <f>E39-червень!E39</f>
        <v>7.0000000000000036</v>
      </c>
      <c r="O39" s="142">
        <f>F39-червень!F39</f>
        <v>6.57</v>
      </c>
      <c r="P39" s="105">
        <f>#N/A</f>
        <v>-0.43000000000000327</v>
      </c>
      <c r="Q39" s="163">
        <f t="shared" si="11"/>
        <v>93.85714285714282</v>
      </c>
      <c r="R39" s="106"/>
      <c r="S39" s="106"/>
    </row>
    <row r="40" spans="1:19" s="6" customFormat="1" ht="15" customHeight="1">
      <c r="A40" s="8"/>
      <c r="B40" s="229"/>
      <c r="C40" s="42"/>
      <c r="D40" s="33">
        <v>0</v>
      </c>
      <c r="E40" s="33">
        <v>0</v>
      </c>
      <c r="F40" s="287">
        <v>0</v>
      </c>
      <c r="G40" s="33">
        <f>#N/A</f>
        <v>0</v>
      </c>
      <c r="H40" s="29"/>
      <c r="I40" s="36">
        <f>#N/A</f>
        <v>0</v>
      </c>
      <c r="J40" s="36"/>
      <c r="K40" s="118">
        <v>0</v>
      </c>
      <c r="L40" s="118">
        <f>#N/A</f>
        <v>0</v>
      </c>
      <c r="M40" s="215" t="e">
        <f>#N/A</f>
        <v>#DIV/0!</v>
      </c>
      <c r="N40" s="155">
        <v>0</v>
      </c>
      <c r="O40" s="158">
        <v>0</v>
      </c>
      <c r="P40" s="35">
        <f>#N/A</f>
        <v>0</v>
      </c>
      <c r="Q40" s="163" t="e">
        <f t="shared" si="11"/>
        <v>#DIV/0!</v>
      </c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D42+D43+D44+D45+D46+D48+D50+D51+D52+D53+D54+D59+D60+D64+D47+D49</f>
        <v>59025</v>
      </c>
      <c r="E41" s="149">
        <f>E42+E43+E44+E45+E46+E48+E50+E51+E52+E53+E54+E59+E60+E64+E47+E49</f>
        <v>35193.7</v>
      </c>
      <c r="F41" s="284">
        <f>F42+F43+F44+F45+F46+F48+F50+F51+F52+F53+F54+F59+F60+F64+F47+F49</f>
        <v>40463.38999999999</v>
      </c>
      <c r="G41" s="284">
        <f>G42+G43+G44+G45+G46+G48+G50+G51+G52+G53+G54+G59+G60+G64+G47+G49</f>
        <v>5269.689999999999</v>
      </c>
      <c r="H41" s="150">
        <f>F41/E41*100</f>
        <v>114.97339012380054</v>
      </c>
      <c r="I41" s="151">
        <f>F41-D41</f>
        <v>-18561.610000000008</v>
      </c>
      <c r="J41" s="151">
        <f>F41/D41*100</f>
        <v>68.55296908089791</v>
      </c>
      <c r="K41" s="149">
        <v>36786.28</v>
      </c>
      <c r="L41" s="149">
        <f>#N/A</f>
        <v>3677.3099999999977</v>
      </c>
      <c r="M41" s="203">
        <f>#N/A</f>
        <v>1.0999641714247812</v>
      </c>
      <c r="N41" s="149">
        <f>N42+N43+N44+N45+N46+N48+N50+N51+N52+N53+N54+N59+N60+N64+N47+N49</f>
        <v>5277.6</v>
      </c>
      <c r="O41" s="149">
        <f>O42+O43+O44+O45+O46+O48+O50+O51+O52+O53+O54+O59+O60+O64+O47+O49</f>
        <v>6404.929999999999</v>
      </c>
      <c r="P41" s="149">
        <f>P42+P43+P44+P45+P46+P48+P50+P51+P52+P53+P54+P59+P60+P64</f>
        <v>1118.2200000000005</v>
      </c>
      <c r="Q41" s="149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2205.32</v>
      </c>
      <c r="G42" s="160">
        <f>F42-E42</f>
        <v>1945.3200000000002</v>
      </c>
      <c r="H42" s="162">
        <f>F42/E42*100</f>
        <v>848.2000000000002</v>
      </c>
      <c r="I42" s="163">
        <f>F42-D42</f>
        <v>1625.3200000000002</v>
      </c>
      <c r="J42" s="163">
        <f>F42/D42*100</f>
        <v>380.2275862068966</v>
      </c>
      <c r="K42" s="163">
        <v>241.39</v>
      </c>
      <c r="L42" s="163">
        <f>F42-K42</f>
        <v>1963.9300000000003</v>
      </c>
      <c r="M42" s="216">
        <f>F42/K42</f>
        <v>9.135921123493103</v>
      </c>
      <c r="N42" s="162">
        <f>E42-червень!E42</f>
        <v>0</v>
      </c>
      <c r="O42" s="166">
        <f>F42-червень!F42</f>
        <v>0.5500000000001819</v>
      </c>
      <c r="P42" s="165">
        <f>O42-N42</f>
        <v>0.5500000000001819</v>
      </c>
      <c r="Q42" s="163"/>
      <c r="R42" s="36">
        <v>0</v>
      </c>
      <c r="S42" s="36">
        <f>O42-R42</f>
        <v>0.5500000000001819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16500</v>
      </c>
      <c r="F43" s="154">
        <v>15892.63</v>
      </c>
      <c r="G43" s="160">
        <f aca="true" t="shared" si="12" ref="G43:G66">F43-E43</f>
        <v>-607.3700000000008</v>
      </c>
      <c r="H43" s="162">
        <f aca="true" t="shared" si="13" ref="H43:H66">F43/E43*100</f>
        <v>96.31896969696969</v>
      </c>
      <c r="I43" s="163">
        <f aca="true" t="shared" si="14" ref="I43:I66">F43-D43</f>
        <v>-14107.37</v>
      </c>
      <c r="J43" s="163">
        <f aca="true" t="shared" si="15" ref="J43:J66">F43/D43*100</f>
        <v>52.975433333333335</v>
      </c>
      <c r="K43" s="163">
        <v>17271.02</v>
      </c>
      <c r="L43" s="163">
        <f aca="true" t="shared" si="16" ref="L43:L66">F43-K43</f>
        <v>-1378.3900000000012</v>
      </c>
      <c r="M43" s="216">
        <f aca="true" t="shared" si="17" ref="M43:M66">F43/K43</f>
        <v>0.9201905851536272</v>
      </c>
      <c r="N43" s="162">
        <f>E43-червень!E43</f>
        <v>2800</v>
      </c>
      <c r="O43" s="166">
        <f>F43-червень!F43</f>
        <v>2538.99</v>
      </c>
      <c r="P43" s="165">
        <f aca="true" t="shared" si="18" ref="P43:P66">O43-N43</f>
        <v>-261.0100000000002</v>
      </c>
      <c r="Q43" s="163">
        <f aca="true" t="shared" si="19" ref="Q43:Q66">O43/N43*100</f>
        <v>90.67821428571428</v>
      </c>
      <c r="R43" s="36">
        <v>2874.5</v>
      </c>
      <c r="S43" s="36">
        <f>#N/A</f>
        <v>-335.5100000000002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23</v>
      </c>
      <c r="F44" s="154">
        <v>118.3</v>
      </c>
      <c r="G44" s="160">
        <f t="shared" si="12"/>
        <v>95.3</v>
      </c>
      <c r="H44" s="162">
        <f t="shared" si="13"/>
        <v>514.3478260869565</v>
      </c>
      <c r="I44" s="163">
        <f t="shared" si="14"/>
        <v>78.3</v>
      </c>
      <c r="J44" s="163">
        <f t="shared" si="15"/>
        <v>295.75</v>
      </c>
      <c r="K44" s="163">
        <v>28.07</v>
      </c>
      <c r="L44" s="163">
        <f t="shared" si="16"/>
        <v>90.22999999999999</v>
      </c>
      <c r="M44" s="216">
        <f t="shared" si="17"/>
        <v>4.214463840399002</v>
      </c>
      <c r="N44" s="162">
        <f>E44-червень!E44</f>
        <v>1</v>
      </c>
      <c r="O44" s="166">
        <f>F44-червень!F44</f>
        <v>15.5</v>
      </c>
      <c r="P44" s="165">
        <f t="shared" si="18"/>
        <v>14.5</v>
      </c>
      <c r="Q44" s="163">
        <f t="shared" si="19"/>
        <v>1550</v>
      </c>
      <c r="R44" s="36">
        <v>10</v>
      </c>
      <c r="S44" s="36">
        <f>#N/A</f>
        <v>5.5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10.79</v>
      </c>
      <c r="G45" s="160">
        <f t="shared" si="12"/>
        <v>10.79</v>
      </c>
      <c r="H45" s="162" t="e">
        <f t="shared" si="13"/>
        <v>#DIV/0!</v>
      </c>
      <c r="I45" s="163">
        <f t="shared" si="14"/>
        <v>10.79</v>
      </c>
      <c r="J45" s="163" t="e">
        <f t="shared" si="15"/>
        <v>#DIV/0!</v>
      </c>
      <c r="K45" s="163">
        <v>0.1</v>
      </c>
      <c r="L45" s="163">
        <f t="shared" si="16"/>
        <v>10.69</v>
      </c>
      <c r="M45" s="216">
        <f t="shared" si="17"/>
        <v>107.89999999999999</v>
      </c>
      <c r="N45" s="162">
        <f>E45-червень!E45</f>
        <v>0</v>
      </c>
      <c r="O45" s="166">
        <f>F45-червень!F45</f>
        <v>8.76</v>
      </c>
      <c r="P45" s="165">
        <f t="shared" si="18"/>
        <v>8.76</v>
      </c>
      <c r="Q45" s="163"/>
      <c r="R45" s="36">
        <v>0</v>
      </c>
      <c r="S45" s="36">
        <f>#N/A</f>
        <v>8.76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150</v>
      </c>
      <c r="F46" s="154">
        <v>545.59</v>
      </c>
      <c r="G46" s="160">
        <f t="shared" si="12"/>
        <v>395.59000000000003</v>
      </c>
      <c r="H46" s="162">
        <f t="shared" si="13"/>
        <v>363.7266666666667</v>
      </c>
      <c r="I46" s="163">
        <f t="shared" si="14"/>
        <v>285.59000000000003</v>
      </c>
      <c r="J46" s="163">
        <f t="shared" si="15"/>
        <v>209.8423076923077</v>
      </c>
      <c r="K46" s="163">
        <v>187.96</v>
      </c>
      <c r="L46" s="163">
        <f t="shared" si="16"/>
        <v>357.63</v>
      </c>
      <c r="M46" s="216">
        <f t="shared" si="17"/>
        <v>2.902692062140881</v>
      </c>
      <c r="N46" s="162">
        <f>E46-червень!E46</f>
        <v>22</v>
      </c>
      <c r="O46" s="166">
        <f>F46-червень!F46</f>
        <v>44.06000000000006</v>
      </c>
      <c r="P46" s="165">
        <f t="shared" si="18"/>
        <v>22.06000000000006</v>
      </c>
      <c r="Q46" s="163">
        <f t="shared" si="19"/>
        <v>200.27272727272756</v>
      </c>
      <c r="R46" s="36">
        <v>70</v>
      </c>
      <c r="S46" s="36">
        <f>#N/A</f>
        <v>-25.92999999999995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61.2</v>
      </c>
      <c r="F47" s="154">
        <v>71.03</v>
      </c>
      <c r="G47" s="160">
        <f t="shared" si="12"/>
        <v>9.829999999999998</v>
      </c>
      <c r="H47" s="162">
        <f t="shared" si="13"/>
        <v>116.06209150326796</v>
      </c>
      <c r="I47" s="163">
        <f t="shared" si="14"/>
        <v>-26.47</v>
      </c>
      <c r="J47" s="163">
        <f t="shared" si="15"/>
        <v>72.85128205128206</v>
      </c>
      <c r="K47" s="163">
        <v>27.48</v>
      </c>
      <c r="L47" s="163">
        <f t="shared" si="16"/>
        <v>43.55</v>
      </c>
      <c r="M47" s="216">
        <f t="shared" si="17"/>
        <v>2.5847889374090247</v>
      </c>
      <c r="N47" s="162">
        <f>E47-червень!E47</f>
        <v>13.600000000000001</v>
      </c>
      <c r="O47" s="166">
        <f>F47-червень!F47</f>
        <v>0.01999999999999602</v>
      </c>
      <c r="P47" s="165">
        <f t="shared" si="18"/>
        <v>-13.580000000000005</v>
      </c>
      <c r="Q47" s="163">
        <f t="shared" si="19"/>
        <v>0.1470588235293825</v>
      </c>
      <c r="R47" s="36">
        <v>0</v>
      </c>
      <c r="S47" s="36">
        <f>#N/A</f>
        <v>0.01999999999999602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520</v>
      </c>
      <c r="F48" s="154">
        <v>714.6</v>
      </c>
      <c r="G48" s="160">
        <f t="shared" si="12"/>
        <v>194.60000000000002</v>
      </c>
      <c r="H48" s="162">
        <f t="shared" si="13"/>
        <v>137.42307692307693</v>
      </c>
      <c r="I48" s="163">
        <f t="shared" si="14"/>
        <v>-15.399999999999977</v>
      </c>
      <c r="J48" s="163">
        <f t="shared" si="15"/>
        <v>97.89041095890411</v>
      </c>
      <c r="K48" s="163">
        <v>248.37</v>
      </c>
      <c r="L48" s="163">
        <f t="shared" si="16"/>
        <v>466.23</v>
      </c>
      <c r="M48" s="216">
        <f t="shared" si="17"/>
        <v>2.8771590771832347</v>
      </c>
      <c r="N48" s="162">
        <f>E48-червень!E48</f>
        <v>60</v>
      </c>
      <c r="O48" s="166">
        <f>F48-червень!F48</f>
        <v>85.68000000000006</v>
      </c>
      <c r="P48" s="165">
        <f t="shared" si="18"/>
        <v>25.680000000000064</v>
      </c>
      <c r="Q48" s="163">
        <f t="shared" si="19"/>
        <v>142.8000000000001</v>
      </c>
      <c r="R48" s="36">
        <v>100</v>
      </c>
      <c r="S48" s="36">
        <f>#N/A</f>
        <v>-14.319999999999936</v>
      </c>
    </row>
    <row r="49" spans="1:19" s="6" customFormat="1" ht="18">
      <c r="A49" s="8"/>
      <c r="B49" s="129" t="s">
        <v>210</v>
      </c>
      <c r="C49" s="48">
        <v>22010200</v>
      </c>
      <c r="D49" s="148">
        <v>0</v>
      </c>
      <c r="E49" s="148">
        <v>0</v>
      </c>
      <c r="F49" s="154">
        <v>23.38</v>
      </c>
      <c r="G49" s="160">
        <f t="shared" si="12"/>
        <v>23.38</v>
      </c>
      <c r="H49" s="162" t="e">
        <f t="shared" si="13"/>
        <v>#DIV/0!</v>
      </c>
      <c r="I49" s="163">
        <f t="shared" si="14"/>
        <v>23.38</v>
      </c>
      <c r="J49" s="163" t="e">
        <f t="shared" si="15"/>
        <v>#DIV/0!</v>
      </c>
      <c r="K49" s="163"/>
      <c r="L49" s="163">
        <f t="shared" si="16"/>
        <v>23.38</v>
      </c>
      <c r="M49" s="216" t="e">
        <f t="shared" si="17"/>
        <v>#DIV/0!</v>
      </c>
      <c r="N49" s="162">
        <f>E49-червень!E49</f>
        <v>0</v>
      </c>
      <c r="O49" s="166">
        <f>F49-червень!F40</f>
        <v>22.689999999999998</v>
      </c>
      <c r="P49" s="165">
        <f t="shared" si="18"/>
        <v>22.689999999999998</v>
      </c>
      <c r="Q49" s="163"/>
      <c r="R49" s="36"/>
      <c r="S49" s="36">
        <f>#N/A</f>
        <v>22.689999999999998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7040</v>
      </c>
      <c r="F50" s="154">
        <v>10783.99</v>
      </c>
      <c r="G50" s="160">
        <f t="shared" si="12"/>
        <v>3743.99</v>
      </c>
      <c r="H50" s="162">
        <f t="shared" si="13"/>
        <v>153.18167613636365</v>
      </c>
      <c r="I50" s="163">
        <f t="shared" si="14"/>
        <v>-216.01000000000022</v>
      </c>
      <c r="J50" s="163">
        <f t="shared" si="15"/>
        <v>98.03627272727272</v>
      </c>
      <c r="K50" s="163">
        <v>6090.63</v>
      </c>
      <c r="L50" s="163">
        <f t="shared" si="16"/>
        <v>4693.36</v>
      </c>
      <c r="M50" s="216">
        <f t="shared" si="17"/>
        <v>1.770586950775207</v>
      </c>
      <c r="N50" s="162">
        <f>E50-червень!E50</f>
        <v>1000</v>
      </c>
      <c r="O50" s="166">
        <f>F50-червень!F50</f>
        <v>2419.6800000000003</v>
      </c>
      <c r="P50" s="165">
        <f t="shared" si="18"/>
        <v>1419.6800000000003</v>
      </c>
      <c r="Q50" s="163">
        <f t="shared" si="19"/>
        <v>241.96800000000005</v>
      </c>
      <c r="R50" s="36">
        <v>1400</v>
      </c>
      <c r="S50" s="36">
        <f>#N/A</f>
        <v>1019.6900000000005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175</v>
      </c>
      <c r="F51" s="154">
        <v>306.17</v>
      </c>
      <c r="G51" s="160">
        <f t="shared" si="12"/>
        <v>131.17000000000002</v>
      </c>
      <c r="H51" s="162">
        <f t="shared" si="13"/>
        <v>174.95428571428573</v>
      </c>
      <c r="I51" s="163">
        <f t="shared" si="14"/>
        <v>-3.829999999999984</v>
      </c>
      <c r="J51" s="163">
        <f t="shared" si="15"/>
        <v>98.76451612903226</v>
      </c>
      <c r="K51" s="163">
        <v>117.39</v>
      </c>
      <c r="L51" s="163">
        <f t="shared" si="16"/>
        <v>188.78000000000003</v>
      </c>
      <c r="M51" s="216">
        <f t="shared" si="17"/>
        <v>2.608143794190306</v>
      </c>
      <c r="N51" s="162">
        <f>E51-червень!E51</f>
        <v>25</v>
      </c>
      <c r="O51" s="166">
        <f>F51-червень!F51</f>
        <v>43.360000000000014</v>
      </c>
      <c r="P51" s="165">
        <f t="shared" si="18"/>
        <v>18.360000000000014</v>
      </c>
      <c r="Q51" s="163">
        <f t="shared" si="19"/>
        <v>173.44000000000005</v>
      </c>
      <c r="R51" s="36">
        <v>40</v>
      </c>
      <c r="S51" s="36">
        <f>#N/A</f>
        <v>3.3899999999999864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12</v>
      </c>
      <c r="F52" s="154">
        <v>25.92</v>
      </c>
      <c r="G52" s="160">
        <f t="shared" si="12"/>
        <v>13.920000000000002</v>
      </c>
      <c r="H52" s="162">
        <f t="shared" si="13"/>
        <v>216</v>
      </c>
      <c r="I52" s="163">
        <f t="shared" si="14"/>
        <v>5.920000000000002</v>
      </c>
      <c r="J52" s="163">
        <f t="shared" si="15"/>
        <v>129.6</v>
      </c>
      <c r="K52" s="163">
        <v>8.54</v>
      </c>
      <c r="L52" s="163">
        <f t="shared" si="16"/>
        <v>17.380000000000003</v>
      </c>
      <c r="M52" s="216">
        <f t="shared" si="17"/>
        <v>3.0351288056206096</v>
      </c>
      <c r="N52" s="162">
        <f>E52-червень!E52</f>
        <v>1</v>
      </c>
      <c r="O52" s="166">
        <f>F52-червень!F52</f>
        <v>7.200000000000003</v>
      </c>
      <c r="P52" s="165">
        <f t="shared" si="18"/>
        <v>6.200000000000003</v>
      </c>
      <c r="Q52" s="163">
        <f t="shared" si="19"/>
        <v>720.0000000000002</v>
      </c>
      <c r="R52" s="36">
        <v>4</v>
      </c>
      <c r="S52" s="36">
        <f>#N/A</f>
        <v>3.200000000000003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4250</v>
      </c>
      <c r="F53" s="154">
        <v>3786.14</v>
      </c>
      <c r="G53" s="160">
        <f t="shared" si="12"/>
        <v>-463.8600000000001</v>
      </c>
      <c r="H53" s="162">
        <f t="shared" si="13"/>
        <v>89.08564705882353</v>
      </c>
      <c r="I53" s="163">
        <f t="shared" si="14"/>
        <v>-3488.86</v>
      </c>
      <c r="J53" s="163">
        <f t="shared" si="15"/>
        <v>52.04316151202749</v>
      </c>
      <c r="K53" s="163">
        <v>4498</v>
      </c>
      <c r="L53" s="163">
        <f t="shared" si="16"/>
        <v>-711.8600000000001</v>
      </c>
      <c r="M53" s="216">
        <f t="shared" si="17"/>
        <v>0.8417385504668742</v>
      </c>
      <c r="N53" s="162">
        <f>E53-червень!E53</f>
        <v>605</v>
      </c>
      <c r="O53" s="166">
        <f>F53-червень!F53</f>
        <v>518.79</v>
      </c>
      <c r="P53" s="165">
        <f t="shared" si="18"/>
        <v>-86.21000000000004</v>
      </c>
      <c r="Q53" s="163">
        <f t="shared" si="19"/>
        <v>85.75041322314048</v>
      </c>
      <c r="R53" s="36">
        <v>550</v>
      </c>
      <c r="S53" s="36">
        <f>#N/A</f>
        <v>-31.210000000000036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690</v>
      </c>
      <c r="F54" s="154">
        <v>479.15</v>
      </c>
      <c r="G54" s="160">
        <f t="shared" si="12"/>
        <v>-210.85000000000002</v>
      </c>
      <c r="H54" s="162">
        <f t="shared" si="13"/>
        <v>69.44202898550725</v>
      </c>
      <c r="I54" s="163">
        <f t="shared" si="14"/>
        <v>-720.85</v>
      </c>
      <c r="J54" s="163">
        <f t="shared" si="15"/>
        <v>39.92916666666667</v>
      </c>
      <c r="K54" s="163">
        <v>3724.79</v>
      </c>
      <c r="L54" s="163">
        <f t="shared" si="16"/>
        <v>-3245.64</v>
      </c>
      <c r="M54" s="216">
        <f t="shared" si="17"/>
        <v>0.12863812456541174</v>
      </c>
      <c r="N54" s="162">
        <f>E54-червень!E54</f>
        <v>120</v>
      </c>
      <c r="O54" s="166">
        <f>F54-червень!F54</f>
        <v>90.72999999999996</v>
      </c>
      <c r="P54" s="165">
        <f t="shared" si="18"/>
        <v>-29.27000000000004</v>
      </c>
      <c r="Q54" s="163">
        <f t="shared" si="19"/>
        <v>75.6083333333333</v>
      </c>
      <c r="R54" s="36">
        <v>50</v>
      </c>
      <c r="S54" s="36">
        <f>#N/A</f>
        <v>40.879999999999995</v>
      </c>
    </row>
    <row r="55" spans="1:19" s="6" customFormat="1" ht="18">
      <c r="A55" s="8"/>
      <c r="B55" s="49" t="s">
        <v>97</v>
      </c>
      <c r="C55" s="122">
        <v>22090100</v>
      </c>
      <c r="D55" s="102">
        <v>998</v>
      </c>
      <c r="E55" s="102">
        <v>580</v>
      </c>
      <c r="F55" s="138">
        <v>409.14</v>
      </c>
      <c r="G55" s="160">
        <f t="shared" si="12"/>
        <v>-170.86</v>
      </c>
      <c r="H55" s="162">
        <f t="shared" si="13"/>
        <v>70.54137931034482</v>
      </c>
      <c r="I55" s="163">
        <f t="shared" si="14"/>
        <v>-588.86</v>
      </c>
      <c r="J55" s="163">
        <f t="shared" si="15"/>
        <v>40.99599198396793</v>
      </c>
      <c r="K55" s="103">
        <v>504.14</v>
      </c>
      <c r="L55" s="163">
        <f t="shared" si="16"/>
        <v>-95</v>
      </c>
      <c r="M55" s="216">
        <f t="shared" si="17"/>
        <v>0.8115602808743603</v>
      </c>
      <c r="N55" s="104">
        <f>E55-червень!E55</f>
        <v>100</v>
      </c>
      <c r="O55" s="142">
        <f>F55-червень!F55</f>
        <v>76.61000000000001</v>
      </c>
      <c r="P55" s="165">
        <f t="shared" si="18"/>
        <v>-23.389999999999986</v>
      </c>
      <c r="Q55" s="163">
        <f t="shared" si="19"/>
        <v>76.61000000000001</v>
      </c>
      <c r="R55" s="36"/>
      <c r="S55" s="36">
        <f>#N/A</f>
        <v>75.43</v>
      </c>
    </row>
    <row r="56" spans="1:19" s="6" customFormat="1" ht="18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160">
        <f t="shared" si="12"/>
        <v>0.15</v>
      </c>
      <c r="H56" s="162" t="e">
        <f t="shared" si="13"/>
        <v>#DIV/0!</v>
      </c>
      <c r="I56" s="163">
        <f t="shared" si="14"/>
        <v>-0.85</v>
      </c>
      <c r="J56" s="163">
        <f t="shared" si="15"/>
        <v>15</v>
      </c>
      <c r="K56" s="103">
        <v>0.26</v>
      </c>
      <c r="L56" s="163">
        <f t="shared" si="16"/>
        <v>-0.11000000000000001</v>
      </c>
      <c r="M56" s="216">
        <f t="shared" si="17"/>
        <v>0.5769230769230769</v>
      </c>
      <c r="N56" s="104">
        <f>E56-червень!E56</f>
        <v>0</v>
      </c>
      <c r="O56" s="142">
        <f>F56-червень!F56</f>
        <v>0</v>
      </c>
      <c r="P56" s="165">
        <f t="shared" si="18"/>
        <v>0</v>
      </c>
      <c r="Q56" s="163"/>
      <c r="R56" s="36"/>
      <c r="S56" s="36">
        <f>#N/A</f>
        <v>0</v>
      </c>
    </row>
    <row r="57" spans="1:19" s="6" customFormat="1" ht="18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160">
        <f t="shared" si="12"/>
        <v>0</v>
      </c>
      <c r="H57" s="162" t="e">
        <f t="shared" si="13"/>
        <v>#DIV/0!</v>
      </c>
      <c r="I57" s="163">
        <f t="shared" si="14"/>
        <v>-1</v>
      </c>
      <c r="J57" s="163">
        <f t="shared" si="15"/>
        <v>0</v>
      </c>
      <c r="K57" s="103">
        <v>0.02</v>
      </c>
      <c r="L57" s="163">
        <f t="shared" si="16"/>
        <v>-0.02</v>
      </c>
      <c r="M57" s="216">
        <f t="shared" si="17"/>
        <v>0</v>
      </c>
      <c r="N57" s="104">
        <f>E57-червень!E57</f>
        <v>0</v>
      </c>
      <c r="O57" s="142">
        <f>F57-червень!F57</f>
        <v>0</v>
      </c>
      <c r="P57" s="165">
        <f t="shared" si="18"/>
        <v>0</v>
      </c>
      <c r="Q57" s="163"/>
      <c r="R57" s="36"/>
      <c r="S57" s="36">
        <f>#N/A</f>
        <v>0</v>
      </c>
    </row>
    <row r="58" spans="1:19" s="6" customFormat="1" ht="18">
      <c r="A58" s="8"/>
      <c r="B58" s="49" t="s">
        <v>96</v>
      </c>
      <c r="C58" s="122">
        <v>22090400</v>
      </c>
      <c r="D58" s="102">
        <v>200</v>
      </c>
      <c r="E58" s="102">
        <v>110</v>
      </c>
      <c r="F58" s="138">
        <v>69.85</v>
      </c>
      <c r="G58" s="160">
        <f t="shared" si="12"/>
        <v>-40.150000000000006</v>
      </c>
      <c r="H58" s="162">
        <f t="shared" si="13"/>
        <v>63.49999999999999</v>
      </c>
      <c r="I58" s="163">
        <f t="shared" si="14"/>
        <v>-130.15</v>
      </c>
      <c r="J58" s="163">
        <f t="shared" si="15"/>
        <v>34.925</v>
      </c>
      <c r="K58" s="103">
        <v>3220.38</v>
      </c>
      <c r="L58" s="163">
        <f t="shared" si="16"/>
        <v>-3150.53</v>
      </c>
      <c r="M58" s="216">
        <f t="shared" si="17"/>
        <v>0.021689986895956376</v>
      </c>
      <c r="N58" s="104">
        <f>E58-червень!E58</f>
        <v>20</v>
      </c>
      <c r="O58" s="142">
        <f>F58-червень!F58</f>
        <v>14.109999999999992</v>
      </c>
      <c r="P58" s="165">
        <f t="shared" si="18"/>
        <v>-5.890000000000008</v>
      </c>
      <c r="Q58" s="163">
        <f t="shared" si="19"/>
        <v>70.54999999999995</v>
      </c>
      <c r="R58" s="36"/>
      <c r="S58" s="36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>
        <f t="shared" si="13"/>
        <v>81.60000000000001</v>
      </c>
      <c r="I59" s="163">
        <f t="shared" si="14"/>
        <v>-0.45999999999999996</v>
      </c>
      <c r="J59" s="163">
        <f t="shared" si="15"/>
        <v>81.60000000000001</v>
      </c>
      <c r="K59" s="163">
        <v>2.46</v>
      </c>
      <c r="L59" s="163">
        <f t="shared" si="16"/>
        <v>-0.41999999999999993</v>
      </c>
      <c r="M59" s="216">
        <f t="shared" si="17"/>
        <v>0.8292682926829269</v>
      </c>
      <c r="N59" s="162">
        <f>E59-червень!E59</f>
        <v>0</v>
      </c>
      <c r="O59" s="166">
        <f>F59-червень!F59</f>
        <v>0</v>
      </c>
      <c r="P59" s="165">
        <f t="shared" si="18"/>
        <v>0</v>
      </c>
      <c r="Q59" s="163"/>
      <c r="R59" s="36">
        <v>0</v>
      </c>
      <c r="S59" s="36">
        <f>#N/A</f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5460</v>
      </c>
      <c r="F60" s="154">
        <v>5438.2</v>
      </c>
      <c r="G60" s="160">
        <f t="shared" si="12"/>
        <v>-21.800000000000182</v>
      </c>
      <c r="H60" s="162">
        <f t="shared" si="13"/>
        <v>99.6007326007326</v>
      </c>
      <c r="I60" s="163">
        <f t="shared" si="14"/>
        <v>-1911.8000000000002</v>
      </c>
      <c r="J60" s="163">
        <f t="shared" si="15"/>
        <v>73.9891156462585</v>
      </c>
      <c r="K60" s="163">
        <v>4261.9</v>
      </c>
      <c r="L60" s="163">
        <f t="shared" si="16"/>
        <v>1176.3000000000002</v>
      </c>
      <c r="M60" s="216">
        <f t="shared" si="17"/>
        <v>1.2760036603392853</v>
      </c>
      <c r="N60" s="162">
        <f>E60-червень!E60</f>
        <v>600</v>
      </c>
      <c r="O60" s="166">
        <f>F60-червень!F60</f>
        <v>603.4200000000001</v>
      </c>
      <c r="P60" s="165">
        <f t="shared" si="18"/>
        <v>3.4200000000000728</v>
      </c>
      <c r="Q60" s="163">
        <f t="shared" si="19"/>
        <v>100.57000000000001</v>
      </c>
      <c r="R60" s="36">
        <v>500</v>
      </c>
      <c r="S60" s="36">
        <f>#N/A</f>
        <v>103.42000000000007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3"/>
        <v>#DIV/0!</v>
      </c>
      <c r="I61" s="163">
        <f t="shared" si="14"/>
        <v>0</v>
      </c>
      <c r="J61" s="163" t="e">
        <f t="shared" si="15"/>
        <v>#DIV/0!</v>
      </c>
      <c r="K61" s="163"/>
      <c r="L61" s="163">
        <f t="shared" si="16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8"/>
        <v>0</v>
      </c>
      <c r="Q61" s="163" t="e">
        <f t="shared" si="19"/>
        <v>#DIV/0!</v>
      </c>
      <c r="R61" s="36"/>
      <c r="S61" s="36">
        <f>#N/A</f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1230</v>
      </c>
      <c r="G62" s="160">
        <f t="shared" si="12"/>
        <v>1230</v>
      </c>
      <c r="H62" s="162" t="e">
        <f t="shared" si="13"/>
        <v>#DIV/0!</v>
      </c>
      <c r="I62" s="163">
        <f t="shared" si="14"/>
        <v>1230</v>
      </c>
      <c r="J62" s="163" t="e">
        <f t="shared" si="15"/>
        <v>#DIV/0!</v>
      </c>
      <c r="K62" s="164">
        <v>731.46</v>
      </c>
      <c r="L62" s="163">
        <f t="shared" si="16"/>
        <v>498.53999999999996</v>
      </c>
      <c r="M62" s="216">
        <f t="shared" si="17"/>
        <v>1.6815683701090969</v>
      </c>
      <c r="N62" s="193"/>
      <c r="O62" s="177">
        <f>F62-червень!F62</f>
        <v>160.28999999999996</v>
      </c>
      <c r="P62" s="165">
        <f t="shared" si="18"/>
        <v>160.28999999999996</v>
      </c>
      <c r="Q62" s="163"/>
      <c r="R62" s="36"/>
      <c r="S62" s="36">
        <f>#N/A</f>
        <v>160.28999999999996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 t="e">
        <f t="shared" si="13"/>
        <v>#DIV/0!</v>
      </c>
      <c r="I63" s="163">
        <f t="shared" si="14"/>
        <v>0</v>
      </c>
      <c r="J63" s="163" t="e">
        <f t="shared" si="15"/>
        <v>#DIV/0!</v>
      </c>
      <c r="K63" s="164"/>
      <c r="L63" s="163">
        <f t="shared" si="16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8"/>
        <v>0</v>
      </c>
      <c r="Q63" s="163" t="e">
        <f t="shared" si="19"/>
        <v>#DIV/0!</v>
      </c>
      <c r="R63" s="36"/>
      <c r="S63" s="36">
        <f>#N/A</f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50</v>
      </c>
      <c r="F64" s="154">
        <v>60.14</v>
      </c>
      <c r="G64" s="160">
        <f t="shared" si="12"/>
        <v>10.14</v>
      </c>
      <c r="H64" s="162">
        <f t="shared" si="13"/>
        <v>120.28000000000002</v>
      </c>
      <c r="I64" s="163">
        <f t="shared" si="14"/>
        <v>-99.86</v>
      </c>
      <c r="J64" s="163">
        <f t="shared" si="15"/>
        <v>37.5875</v>
      </c>
      <c r="K64" s="163">
        <v>78.18</v>
      </c>
      <c r="L64" s="163">
        <f t="shared" si="16"/>
        <v>-18.040000000000006</v>
      </c>
      <c r="M64" s="216">
        <f t="shared" si="17"/>
        <v>0.7692504476848299</v>
      </c>
      <c r="N64" s="162">
        <f>E64-червень!E64</f>
        <v>30</v>
      </c>
      <c r="O64" s="166">
        <f>F64-червень!F64</f>
        <v>5.5</v>
      </c>
      <c r="P64" s="165">
        <f t="shared" si="18"/>
        <v>-24.5</v>
      </c>
      <c r="Q64" s="163">
        <f t="shared" si="19"/>
        <v>18.333333333333332</v>
      </c>
      <c r="R64" s="36">
        <v>0</v>
      </c>
      <c r="S64" s="36">
        <f>#N/A</f>
        <v>5.5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8.8</v>
      </c>
      <c r="F65" s="154">
        <v>28.54</v>
      </c>
      <c r="G65" s="160">
        <f t="shared" si="12"/>
        <v>19.74</v>
      </c>
      <c r="H65" s="162">
        <f t="shared" si="13"/>
        <v>324.31818181818176</v>
      </c>
      <c r="I65" s="163">
        <f t="shared" si="14"/>
        <v>13.54</v>
      </c>
      <c r="J65" s="163">
        <f t="shared" si="15"/>
        <v>190.26666666666665</v>
      </c>
      <c r="K65" s="163">
        <v>13.52</v>
      </c>
      <c r="L65" s="163">
        <f t="shared" si="16"/>
        <v>15.02</v>
      </c>
      <c r="M65" s="216">
        <f t="shared" si="17"/>
        <v>2.11094674556213</v>
      </c>
      <c r="N65" s="162">
        <f>E65-червень!E65</f>
        <v>1.200000000000001</v>
      </c>
      <c r="O65" s="166">
        <f>F65-червень!F65</f>
        <v>3.16</v>
      </c>
      <c r="P65" s="165">
        <f t="shared" si="18"/>
        <v>1.959999999999999</v>
      </c>
      <c r="Q65" s="163">
        <f t="shared" si="19"/>
        <v>263.3333333333331</v>
      </c>
      <c r="R65" s="36">
        <v>3.2</v>
      </c>
      <c r="S65" s="36">
        <f>#N/A</f>
        <v>-0.040000000000000036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 t="e">
        <f t="shared" si="13"/>
        <v>#DIV/0!</v>
      </c>
      <c r="I66" s="163">
        <f t="shared" si="14"/>
        <v>-5.25</v>
      </c>
      <c r="J66" s="163" t="e">
        <f t="shared" si="15"/>
        <v>#DIV/0!</v>
      </c>
      <c r="K66" s="163">
        <v>1.02</v>
      </c>
      <c r="L66" s="163">
        <f t="shared" si="16"/>
        <v>-6.27</v>
      </c>
      <c r="M66" s="216">
        <f t="shared" si="17"/>
        <v>-5.147058823529411</v>
      </c>
      <c r="N66" s="162">
        <f>E66-червень!E66</f>
        <v>0</v>
      </c>
      <c r="O66" s="166">
        <f>F66-червень!F66</f>
        <v>0</v>
      </c>
      <c r="P66" s="165">
        <f t="shared" si="18"/>
        <v>0</v>
      </c>
      <c r="Q66" s="163" t="e">
        <f t="shared" si="19"/>
        <v>#DIV/0!</v>
      </c>
      <c r="R66" s="36">
        <v>0</v>
      </c>
      <c r="S66" s="36">
        <f>#N/A</f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762542.7</v>
      </c>
      <c r="F67" s="149">
        <f>F8+F41+F65+F66</f>
        <v>766059.7300000001</v>
      </c>
      <c r="G67" s="149">
        <f>F67-E67</f>
        <v>3517.0300000001444</v>
      </c>
      <c r="H67" s="150">
        <f>F67/E67*100</f>
        <v>100.46122400752118</v>
      </c>
      <c r="I67" s="151">
        <f>F67-D67</f>
        <v>-591431.37</v>
      </c>
      <c r="J67" s="151">
        <f>F67/D67*100</f>
        <v>56.43202596319048</v>
      </c>
      <c r="K67" s="151">
        <v>580607.78</v>
      </c>
      <c r="L67" s="151">
        <f>F67-K67</f>
        <v>185451.95000000007</v>
      </c>
      <c r="M67" s="217">
        <f>F67/K67</f>
        <v>1.3194100327074503</v>
      </c>
      <c r="N67" s="149">
        <f>N8+N41+N65+N66</f>
        <v>123743.40000000004</v>
      </c>
      <c r="O67" s="149">
        <f>O8+O41+O65+O66</f>
        <v>122511.01999999996</v>
      </c>
      <c r="P67" s="153">
        <f>O67-N67</f>
        <v>-1232.3800000000774</v>
      </c>
      <c r="Q67" s="151">
        <f>O67/N67*100</f>
        <v>99.00408425823109</v>
      </c>
      <c r="R67" s="26">
        <f>R8+R41+R65+R66</f>
        <v>108115.7</v>
      </c>
      <c r="S67" s="277">
        <f>O67-R67</f>
        <v>14395.319999999963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E73-червень!E73</f>
        <v>0</v>
      </c>
      <c r="O73" s="180">
        <f>F73-червень!F73</f>
        <v>0</v>
      </c>
      <c r="P73" s="165">
        <f>O73-N73</f>
        <v>0</v>
      </c>
      <c r="Q73" s="165"/>
      <c r="R73" s="37"/>
      <c r="S73" s="37"/>
    </row>
    <row r="74" spans="2:19" ht="18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65">
        <f aca="true" t="shared" si="20" ref="P74:P86">O74-N74</f>
        <v>0</v>
      </c>
      <c r="Q74" s="165"/>
      <c r="R74" s="38"/>
      <c r="S74" s="38"/>
    </row>
    <row r="75" spans="2:19" ht="45.7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>F75-E75</f>
        <v>35.57</v>
      </c>
      <c r="H75" s="184"/>
      <c r="I75" s="185">
        <f>F75-D75</f>
        <v>35.57</v>
      </c>
      <c r="J75" s="185"/>
      <c r="K75" s="185">
        <v>0</v>
      </c>
      <c r="L75" s="185">
        <f>F75-K75</f>
        <v>35.57</v>
      </c>
      <c r="M75" s="185"/>
      <c r="N75" s="184">
        <f>E75-червень!E75</f>
        <v>0</v>
      </c>
      <c r="O75" s="286">
        <f>F75-червень!F75</f>
        <v>0</v>
      </c>
      <c r="P75" s="165">
        <f t="shared" si="20"/>
        <v>0</v>
      </c>
      <c r="Q75" s="16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13500</v>
      </c>
      <c r="F76" s="179">
        <v>3.77</v>
      </c>
      <c r="G76" s="160">
        <f>F76-E76</f>
        <v>-13496.23</v>
      </c>
      <c r="H76" s="162">
        <f>F76/E76*100</f>
        <v>0.027925925925925927</v>
      </c>
      <c r="I76" s="165">
        <f>F76-D76</f>
        <v>-104202.26</v>
      </c>
      <c r="J76" s="165">
        <f>F76/D76*100</f>
        <v>0.0036178328643745477</v>
      </c>
      <c r="K76" s="165">
        <v>1535.06</v>
      </c>
      <c r="L76" s="165">
        <f>F76-K76</f>
        <v>-1531.29</v>
      </c>
      <c r="M76" s="207">
        <f aca="true" t="shared" si="21" ref="M76:M86">F76/K76</f>
        <v>0.0024559300613656797</v>
      </c>
      <c r="N76" s="162">
        <f>E76-червень!E76</f>
        <v>4500</v>
      </c>
      <c r="O76" s="166">
        <f>F76-червень!F76</f>
        <v>0.04999999999999982</v>
      </c>
      <c r="P76" s="165">
        <f t="shared" si="20"/>
        <v>-4499.95</v>
      </c>
      <c r="Q76" s="165">
        <f aca="true" t="shared" si="22" ref="Q76:Q86">O76/N76*100</f>
        <v>0.001111111111111107</v>
      </c>
      <c r="R76" s="37">
        <v>0</v>
      </c>
      <c r="S76" s="37">
        <f>#N/A</f>
        <v>0.04999999999999982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19230</v>
      </c>
      <c r="F77" s="179">
        <v>5906.21</v>
      </c>
      <c r="G77" s="160">
        <f aca="true" t="shared" si="23" ref="G77:G86">F77-E77</f>
        <v>-13323.79</v>
      </c>
      <c r="H77" s="162">
        <f aca="true" t="shared" si="24" ref="H77:H87">F77/E77*100</f>
        <v>30.71352054082163</v>
      </c>
      <c r="I77" s="165">
        <f aca="true" t="shared" si="25" ref="I77:I87">F77-D77</f>
        <v>-48093.79</v>
      </c>
      <c r="J77" s="165">
        <f>F77/D77*100</f>
        <v>10.937425925925925</v>
      </c>
      <c r="K77" s="165">
        <v>6751.5</v>
      </c>
      <c r="L77" s="165">
        <f aca="true" t="shared" si="26" ref="L77:L86">F77-K77</f>
        <v>-845.29</v>
      </c>
      <c r="M77" s="207">
        <f t="shared" si="21"/>
        <v>0.874799674146486</v>
      </c>
      <c r="N77" s="162">
        <f>E77-червень!E77</f>
        <v>3600</v>
      </c>
      <c r="O77" s="166">
        <f>F77-червень!F77</f>
        <v>4289.0599999999995</v>
      </c>
      <c r="P77" s="165">
        <f t="shared" si="20"/>
        <v>689.0599999999995</v>
      </c>
      <c r="Q77" s="165">
        <f t="shared" si="22"/>
        <v>119.14055555555554</v>
      </c>
      <c r="R77" s="37">
        <v>200</v>
      </c>
      <c r="S77" s="37">
        <f>#N/A</f>
        <v>4089.0599999999995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20050</v>
      </c>
      <c r="F78" s="179">
        <v>6971.3</v>
      </c>
      <c r="G78" s="160">
        <f t="shared" si="23"/>
        <v>-13078.7</v>
      </c>
      <c r="H78" s="162">
        <f t="shared" si="24"/>
        <v>34.76957605985038</v>
      </c>
      <c r="I78" s="165">
        <f t="shared" si="25"/>
        <v>-72028.7</v>
      </c>
      <c r="J78" s="165">
        <f>F78/D78*100</f>
        <v>8.824430379746834</v>
      </c>
      <c r="K78" s="165">
        <v>9509.69</v>
      </c>
      <c r="L78" s="165">
        <f t="shared" si="26"/>
        <v>-2538.3900000000003</v>
      </c>
      <c r="M78" s="207">
        <f t="shared" si="21"/>
        <v>0.7330733178473746</v>
      </c>
      <c r="N78" s="162">
        <f>E78-червень!E78</f>
        <v>3850</v>
      </c>
      <c r="O78" s="166">
        <f>F78-червень!F78</f>
        <v>403.0799999999999</v>
      </c>
      <c r="P78" s="165">
        <f t="shared" si="20"/>
        <v>-3446.92</v>
      </c>
      <c r="Q78" s="165">
        <f t="shared" si="22"/>
        <v>10.469610389610388</v>
      </c>
      <c r="R78" s="37">
        <v>1500</v>
      </c>
      <c r="S78" s="37">
        <f>#N/A</f>
        <v>-1096.92</v>
      </c>
    </row>
    <row r="79" spans="2:19" ht="18">
      <c r="B79" s="23" t="s">
        <v>101</v>
      </c>
      <c r="C79" s="72">
        <v>24110700</v>
      </c>
      <c r="D79" s="178">
        <v>12</v>
      </c>
      <c r="E79" s="178">
        <v>7</v>
      </c>
      <c r="F79" s="179">
        <v>8</v>
      </c>
      <c r="G79" s="160">
        <f t="shared" si="23"/>
        <v>1</v>
      </c>
      <c r="H79" s="162">
        <f t="shared" si="24"/>
        <v>114.28571428571428</v>
      </c>
      <c r="I79" s="165">
        <f t="shared" si="25"/>
        <v>-4</v>
      </c>
      <c r="J79" s="165">
        <f>F79/D79*100</f>
        <v>66.66666666666666</v>
      </c>
      <c r="K79" s="165">
        <v>6</v>
      </c>
      <c r="L79" s="165">
        <f t="shared" si="26"/>
        <v>2</v>
      </c>
      <c r="M79" s="207">
        <f t="shared" si="21"/>
        <v>1.3333333333333333</v>
      </c>
      <c r="N79" s="162">
        <f>E79-червень!E79</f>
        <v>1</v>
      </c>
      <c r="O79" s="166">
        <f>F79-червень!F79</f>
        <v>1</v>
      </c>
      <c r="P79" s="165">
        <f t="shared" si="20"/>
        <v>0</v>
      </c>
      <c r="Q79" s="165">
        <f t="shared" si="22"/>
        <v>100</v>
      </c>
      <c r="R79" s="37">
        <v>1</v>
      </c>
      <c r="S79" s="37">
        <f>#N/A</f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52787</v>
      </c>
      <c r="F80" s="182">
        <f>F76+F77+F78+F79</f>
        <v>12889.28</v>
      </c>
      <c r="G80" s="160">
        <f t="shared" si="23"/>
        <v>-39897.72</v>
      </c>
      <c r="H80" s="162">
        <f t="shared" si="24"/>
        <v>24.417527042643076</v>
      </c>
      <c r="I80" s="165">
        <f t="shared" si="25"/>
        <v>-224328.75</v>
      </c>
      <c r="J80" s="185">
        <f>F80/D80*100</f>
        <v>5.433516162325436</v>
      </c>
      <c r="K80" s="185">
        <v>17802.25</v>
      </c>
      <c r="L80" s="165">
        <f t="shared" si="26"/>
        <v>-4912.969999999999</v>
      </c>
      <c r="M80" s="212">
        <f t="shared" si="21"/>
        <v>0.7240253338763359</v>
      </c>
      <c r="N80" s="183">
        <f>N76+N77+N78+N79</f>
        <v>11951</v>
      </c>
      <c r="O80" s="187">
        <f>O76+O77+O78+O79</f>
        <v>4693.19</v>
      </c>
      <c r="P80" s="165">
        <f t="shared" si="20"/>
        <v>-7257.81</v>
      </c>
      <c r="Q80" s="165">
        <f t="shared" si="22"/>
        <v>39.27027027027027</v>
      </c>
      <c r="R80" s="38">
        <f>SUM(R76:R79)</f>
        <v>1701</v>
      </c>
      <c r="S80" s="38">
        <f>#N/A</f>
        <v>2992.1899999999996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38.14</v>
      </c>
      <c r="G81" s="160">
        <f t="shared" si="23"/>
        <v>34.14</v>
      </c>
      <c r="H81" s="162">
        <f t="shared" si="24"/>
        <v>953.5</v>
      </c>
      <c r="I81" s="165">
        <f t="shared" si="25"/>
        <v>-1.8599999999999994</v>
      </c>
      <c r="J81" s="165"/>
      <c r="K81" s="165">
        <v>5.21</v>
      </c>
      <c r="L81" s="165">
        <f t="shared" si="26"/>
        <v>32.93</v>
      </c>
      <c r="M81" s="207">
        <f t="shared" si="21"/>
        <v>7.320537428023033</v>
      </c>
      <c r="N81" s="162">
        <f>E81-червень!E81</f>
        <v>0</v>
      </c>
      <c r="O81" s="166">
        <f>F81-червень!F81</f>
        <v>2.8299999999999983</v>
      </c>
      <c r="P81" s="165">
        <f t="shared" si="20"/>
        <v>2.8299999999999983</v>
      </c>
      <c r="Q81" s="165"/>
      <c r="R81" s="37">
        <v>1</v>
      </c>
      <c r="S81" s="37">
        <f>#N/A</f>
        <v>1.8299999999999983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23"/>
        <v>0</v>
      </c>
      <c r="H82" s="162" t="e">
        <f t="shared" si="24"/>
        <v>#DIV/0!</v>
      </c>
      <c r="I82" s="165">
        <f t="shared" si="25"/>
        <v>0</v>
      </c>
      <c r="J82" s="188"/>
      <c r="K82" s="165">
        <v>0</v>
      </c>
      <c r="L82" s="165">
        <f t="shared" si="26"/>
        <v>0</v>
      </c>
      <c r="M82" s="207" t="e">
        <f t="shared" si="21"/>
        <v>#DIV/0!</v>
      </c>
      <c r="N82" s="162">
        <f>E82-червень!E82</f>
        <v>0</v>
      </c>
      <c r="O82" s="166">
        <f>F82-червень!F82</f>
        <v>0</v>
      </c>
      <c r="P82" s="165">
        <f t="shared" si="20"/>
        <v>0</v>
      </c>
      <c r="Q82" s="165" t="e">
        <f t="shared" si="22"/>
        <v>#DIV/0!</v>
      </c>
      <c r="R82" s="40"/>
      <c r="S82" s="37">
        <f>#N/A</f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4510.8</v>
      </c>
      <c r="F83" s="179">
        <v>5113.7</v>
      </c>
      <c r="G83" s="160">
        <f t="shared" si="23"/>
        <v>602.8999999999996</v>
      </c>
      <c r="H83" s="162">
        <f t="shared" si="24"/>
        <v>113.36570009754365</v>
      </c>
      <c r="I83" s="165">
        <f t="shared" si="25"/>
        <v>-3246.3</v>
      </c>
      <c r="J83" s="165">
        <f>F83/D83*100</f>
        <v>61.16866028708133</v>
      </c>
      <c r="K83" s="165">
        <v>4902.34</v>
      </c>
      <c r="L83" s="165">
        <f t="shared" si="26"/>
        <v>211.35999999999967</v>
      </c>
      <c r="M83" s="207">
        <f t="shared" si="21"/>
        <v>1.043114104692861</v>
      </c>
      <c r="N83" s="162">
        <f>E83-червень!E83</f>
        <v>3.800000000000182</v>
      </c>
      <c r="O83" s="166">
        <f>F83-червень!F83</f>
        <v>9.6899999999996</v>
      </c>
      <c r="P83" s="165">
        <f t="shared" si="20"/>
        <v>5.889999999999418</v>
      </c>
      <c r="Q83" s="165">
        <f t="shared" si="22"/>
        <v>254.99999999997723</v>
      </c>
      <c r="R83" s="40">
        <v>2850</v>
      </c>
      <c r="S83" s="285">
        <f>#N/A</f>
        <v>-2840.3100000000004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23"/>
        <v>0.05</v>
      </c>
      <c r="H84" s="162" t="e">
        <f t="shared" si="24"/>
        <v>#DIV/0!</v>
      </c>
      <c r="I84" s="165">
        <f t="shared" si="25"/>
        <v>0.05</v>
      </c>
      <c r="J84" s="165"/>
      <c r="K84" s="165">
        <v>0.92</v>
      </c>
      <c r="L84" s="165">
        <f t="shared" si="26"/>
        <v>-0.87</v>
      </c>
      <c r="M84" s="207">
        <f t="shared" si="21"/>
        <v>0.05434782608695652</v>
      </c>
      <c r="N84" s="162">
        <f>E84-червень!E84</f>
        <v>0</v>
      </c>
      <c r="O84" s="166">
        <f>F84-червень!F84</f>
        <v>0</v>
      </c>
      <c r="P84" s="165">
        <f t="shared" si="20"/>
        <v>0</v>
      </c>
      <c r="Q84" s="165"/>
      <c r="R84" s="37">
        <v>0</v>
      </c>
      <c r="S84" s="37">
        <f>#N/A</f>
        <v>0</v>
      </c>
    </row>
    <row r="85" spans="2:19" ht="30.75">
      <c r="B85" s="27" t="s">
        <v>47</v>
      </c>
      <c r="C85" s="72"/>
      <c r="D85" s="181">
        <f>D81+D84+D82+D83</f>
        <v>8400</v>
      </c>
      <c r="E85" s="181">
        <f>E81+E84+E82+E83</f>
        <v>4514.8</v>
      </c>
      <c r="F85" s="182">
        <f>F81+F84+F82+F83</f>
        <v>5151.889999999999</v>
      </c>
      <c r="G85" s="160">
        <f t="shared" si="23"/>
        <v>637.0899999999992</v>
      </c>
      <c r="H85" s="162">
        <f t="shared" si="24"/>
        <v>114.11114556569504</v>
      </c>
      <c r="I85" s="165">
        <f t="shared" si="25"/>
        <v>-3248.1100000000006</v>
      </c>
      <c r="J85" s="185">
        <f>F85/D85*100</f>
        <v>61.332023809523804</v>
      </c>
      <c r="K85" s="185">
        <v>4908.48</v>
      </c>
      <c r="L85" s="165">
        <f t="shared" si="26"/>
        <v>243.40999999999985</v>
      </c>
      <c r="M85" s="207">
        <f t="shared" si="21"/>
        <v>1.0495896896799009</v>
      </c>
      <c r="N85" s="183">
        <f>N81+N84+N82+N83</f>
        <v>3.800000000000182</v>
      </c>
      <c r="O85" s="187">
        <f>O81+O84+O82+O83</f>
        <v>12.519999999999598</v>
      </c>
      <c r="P85" s="165">
        <f t="shared" si="20"/>
        <v>8.719999999999416</v>
      </c>
      <c r="Q85" s="165">
        <f t="shared" si="22"/>
        <v>329.4736842105</v>
      </c>
      <c r="R85" s="38">
        <f>SUM(R81:R84)</f>
        <v>2851</v>
      </c>
      <c r="S85" s="38">
        <f>#N/A</f>
        <v>-2838.4800000000005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24.8</v>
      </c>
      <c r="F86" s="179">
        <v>12.43</v>
      </c>
      <c r="G86" s="160">
        <f t="shared" si="23"/>
        <v>-12.370000000000001</v>
      </c>
      <c r="H86" s="162">
        <f t="shared" si="24"/>
        <v>50.12096774193549</v>
      </c>
      <c r="I86" s="165">
        <f t="shared" si="25"/>
        <v>-25.57</v>
      </c>
      <c r="J86" s="165">
        <f>F86/D86*100</f>
        <v>32.71052631578947</v>
      </c>
      <c r="K86" s="165">
        <v>18.76</v>
      </c>
      <c r="L86" s="165">
        <f t="shared" si="26"/>
        <v>-6.330000000000002</v>
      </c>
      <c r="M86" s="207">
        <f t="shared" si="21"/>
        <v>0.6625799573560767</v>
      </c>
      <c r="N86" s="162">
        <f>E86-червень!E86</f>
        <v>1.5</v>
      </c>
      <c r="O86" s="166">
        <f>F86-червень!F86</f>
        <v>4.6899999999999995</v>
      </c>
      <c r="P86" s="165">
        <f t="shared" si="20"/>
        <v>3.1899999999999995</v>
      </c>
      <c r="Q86" s="165">
        <f t="shared" si="22"/>
        <v>312.66666666666663</v>
      </c>
      <c r="R86" s="37">
        <v>1.2</v>
      </c>
      <c r="S86" s="37">
        <f>#N/A</f>
        <v>3.4899999999999993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>#N/A</f>
        <v>0</v>
      </c>
      <c r="H87" s="162" t="e">
        <f t="shared" si="24"/>
        <v>#DIV/0!</v>
      </c>
      <c r="I87" s="165">
        <f t="shared" si="25"/>
        <v>0</v>
      </c>
      <c r="J87" s="165"/>
      <c r="K87" s="165">
        <v>0</v>
      </c>
      <c r="L87" s="165">
        <f>#N/A</f>
        <v>0</v>
      </c>
      <c r="M87" s="165"/>
      <c r="N87" s="162">
        <f>E87-квітень!E87</f>
        <v>0</v>
      </c>
      <c r="O87" s="166">
        <f>F87-квітень!F87</f>
        <v>0</v>
      </c>
      <c r="P87" s="165">
        <f>#N/A</f>
        <v>0</v>
      </c>
      <c r="Q87" s="165"/>
      <c r="R87" s="37">
        <v>0</v>
      </c>
      <c r="S87" s="37">
        <f>#N/A</f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57326.600000000006</v>
      </c>
      <c r="F88" s="189">
        <f>F74+F75+F80+F85+F86</f>
        <v>18086.54</v>
      </c>
      <c r="G88" s="190">
        <f>F88-E88</f>
        <v>-39240.060000000005</v>
      </c>
      <c r="H88" s="191">
        <f>F88/E88*100</f>
        <v>31.549995987900903</v>
      </c>
      <c r="I88" s="192">
        <f>F88-D88</f>
        <v>-227569.49</v>
      </c>
      <c r="J88" s="192">
        <f>F88/D88*100</f>
        <v>7.362546728447904</v>
      </c>
      <c r="K88" s="192">
        <v>22727.2</v>
      </c>
      <c r="L88" s="192">
        <f>F88-K88</f>
        <v>-4640.66</v>
      </c>
      <c r="M88" s="219">
        <f>#N/A</f>
        <v>0.7958103065929811</v>
      </c>
      <c r="N88" s="189">
        <f>N74+N75+N80+N85+N86</f>
        <v>11956.3</v>
      </c>
      <c r="O88" s="189">
        <f>O74+O75+O80+O85+O86</f>
        <v>4710.399999999999</v>
      </c>
      <c r="P88" s="192">
        <f>#N/A</f>
        <v>-7245.900000000001</v>
      </c>
      <c r="Q88" s="192">
        <f>O88/N88*100</f>
        <v>39.396803358898644</v>
      </c>
      <c r="R88" s="26">
        <f>R80+R85+R86+R87</f>
        <v>4553.2</v>
      </c>
      <c r="S88" s="26">
        <f>S80+S85+S86+S87</f>
        <v>157.19999999999914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819869.2999999999</v>
      </c>
      <c r="F89" s="189">
        <f>F67+F88</f>
        <v>784146.2700000001</v>
      </c>
      <c r="G89" s="190">
        <f>F89-E89</f>
        <v>-35723.029999999795</v>
      </c>
      <c r="H89" s="191">
        <f>F89/E89*100</f>
        <v>95.64283843778517</v>
      </c>
      <c r="I89" s="192">
        <f>F89-D89</f>
        <v>-819000.86</v>
      </c>
      <c r="J89" s="192">
        <f>F89/D89*100</f>
        <v>48.91293227715163</v>
      </c>
      <c r="K89" s="192">
        <f>K67+K88</f>
        <v>603334.98</v>
      </c>
      <c r="L89" s="192">
        <f>F89-K89</f>
        <v>180811.29000000015</v>
      </c>
      <c r="M89" s="219">
        <f>#N/A</f>
        <v>1.299686270469516</v>
      </c>
      <c r="N89" s="190">
        <f>N67+N88</f>
        <v>135699.70000000004</v>
      </c>
      <c r="O89" s="190">
        <f>O67+O88</f>
        <v>127221.41999999995</v>
      </c>
      <c r="P89" s="192">
        <f>#N/A</f>
        <v>-8478.360000000073</v>
      </c>
      <c r="Q89" s="192">
        <f>O89/N89*100</f>
        <v>93.75217483900106</v>
      </c>
      <c r="R89" s="26">
        <f>R67+R88</f>
        <v>112668.9</v>
      </c>
      <c r="S89" s="26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19" ht="30.75">
      <c r="B92" s="51" t="s">
        <v>53</v>
      </c>
      <c r="C92" s="28" t="e">
        <f>IF(P67&lt;0,ABS(P67/C91),0)</f>
        <v>#DIV/0!</v>
      </c>
      <c r="D92" s="4" t="s">
        <v>24</v>
      </c>
      <c r="G92" s="325"/>
      <c r="H92" s="325"/>
      <c r="I92" s="325"/>
      <c r="J92" s="325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42947</v>
      </c>
      <c r="D93" s="28">
        <v>6459.1</v>
      </c>
      <c r="G93" s="4" t="s">
        <v>58</v>
      </c>
      <c r="O93" s="313"/>
      <c r="P93" s="313"/>
    </row>
    <row r="94" spans="3:16" ht="15">
      <c r="C94" s="80">
        <v>42944</v>
      </c>
      <c r="D94" s="28">
        <v>13586.1</v>
      </c>
      <c r="G94" s="309"/>
      <c r="H94" s="309"/>
      <c r="I94" s="117"/>
      <c r="J94" s="346"/>
      <c r="K94" s="346"/>
      <c r="L94" s="346"/>
      <c r="M94" s="346"/>
      <c r="N94" s="346"/>
      <c r="O94" s="313"/>
      <c r="P94" s="313"/>
    </row>
    <row r="95" spans="3:16" ht="15.75" customHeight="1">
      <c r="C95" s="80">
        <v>42943</v>
      </c>
      <c r="D95" s="28">
        <v>6106.3</v>
      </c>
      <c r="F95" s="67"/>
      <c r="G95" s="309"/>
      <c r="H95" s="309"/>
      <c r="I95" s="117"/>
      <c r="J95" s="347"/>
      <c r="K95" s="347"/>
      <c r="L95" s="347"/>
      <c r="M95" s="347"/>
      <c r="N95" s="347"/>
      <c r="O95" s="313"/>
      <c r="P95" s="313"/>
    </row>
    <row r="96" spans="3:14" ht="15.75" customHeight="1">
      <c r="C96" s="80"/>
      <c r="F96" s="67"/>
      <c r="G96" s="314"/>
      <c r="H96" s="314"/>
      <c r="I96" s="123"/>
      <c r="J96" s="346"/>
      <c r="K96" s="346"/>
      <c r="L96" s="346"/>
      <c r="M96" s="346"/>
      <c r="N96" s="346"/>
    </row>
    <row r="97" spans="2:14" ht="18" customHeight="1">
      <c r="B97" s="315" t="s">
        <v>56</v>
      </c>
      <c r="C97" s="316"/>
      <c r="D97" s="132">
        <f>'[1]залишки  (2)'!$G$6/1000</f>
        <v>8626.34759</v>
      </c>
      <c r="E97" s="68"/>
      <c r="F97" s="124" t="s">
        <v>105</v>
      </c>
      <c r="G97" s="309"/>
      <c r="H97" s="309"/>
      <c r="I97" s="125"/>
      <c r="J97" s="346"/>
      <c r="K97" s="346"/>
      <c r="L97" s="346"/>
      <c r="M97" s="346"/>
      <c r="N97" s="346"/>
    </row>
    <row r="98" spans="6:13" ht="9.75" customHeight="1" hidden="1">
      <c r="F98" s="67"/>
      <c r="G98" s="309"/>
      <c r="H98" s="309"/>
      <c r="I98" s="67"/>
      <c r="J98" s="68"/>
      <c r="K98" s="68"/>
      <c r="L98" s="68"/>
      <c r="M98" s="68"/>
    </row>
    <row r="99" spans="2:13" ht="22.5" customHeight="1" hidden="1">
      <c r="B99" s="310" t="s">
        <v>59</v>
      </c>
      <c r="C99" s="311"/>
      <c r="D99" s="79">
        <v>0</v>
      </c>
      <c r="E99" s="50" t="s">
        <v>24</v>
      </c>
      <c r="F99" s="67"/>
      <c r="G99" s="309"/>
      <c r="H99" s="30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707</v>
      </c>
      <c r="F100" s="201">
        <f>F48+F51+F52</f>
        <v>1046.69</v>
      </c>
      <c r="G100" s="67">
        <f>G48+G51+G52</f>
        <v>339.69000000000005</v>
      </c>
      <c r="H100" s="68"/>
      <c r="I100" s="68"/>
      <c r="N100" s="28">
        <f>N48+N51+N52</f>
        <v>86</v>
      </c>
      <c r="O100" s="200">
        <f>O48+O51+O52</f>
        <v>136.24000000000007</v>
      </c>
      <c r="P100" s="28">
        <f>P48+P51+P52</f>
        <v>50.24000000000008</v>
      </c>
    </row>
    <row r="101" spans="4:16" ht="15" hidden="1">
      <c r="D101" s="77"/>
      <c r="I101" s="28"/>
      <c r="O101" s="312"/>
      <c r="P101" s="312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727611.5</v>
      </c>
      <c r="F102" s="227">
        <f>F9+F15+F18+F19+F23+F42+F45+F65+F59</f>
        <v>727819.2500000001</v>
      </c>
      <c r="G102" s="28">
        <f>F102-E102</f>
        <v>207.75000000011642</v>
      </c>
      <c r="H102" s="228">
        <f>F102/E102</f>
        <v>1.0002855232497014</v>
      </c>
      <c r="I102" s="28">
        <f>F102-D102</f>
        <v>-571229.35</v>
      </c>
      <c r="J102" s="228">
        <f>F102/D102</f>
        <v>0.5602709937103201</v>
      </c>
      <c r="N102" s="28">
        <f>N9+N15+N17+N18+N19+N23+N42+N45+N65+N59</f>
        <v>118465.80000000003</v>
      </c>
      <c r="O102" s="227">
        <f>O9+O15+O17+O18+O19+O23+O42+O45+O65+O59</f>
        <v>116115.39999999997</v>
      </c>
      <c r="P102" s="28">
        <f>O102-N102</f>
        <v>-2350.400000000067</v>
      </c>
      <c r="Q102" s="228">
        <f>O102/N102</f>
        <v>0.9801596747753355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34931.2</v>
      </c>
      <c r="F103" s="227">
        <f>F43+F44+F46+F48+F50+F51+F52+F53+F54+F60+F64+F47+F66</f>
        <v>38216.609999999986</v>
      </c>
      <c r="G103" s="28">
        <f>G43+G44+G46+G48+G50+G51+G52+G53+G54+G60+G64+G47</f>
        <v>3290.6599999999985</v>
      </c>
      <c r="H103" s="228">
        <f>F103/E103</f>
        <v>1.0940537399230483</v>
      </c>
      <c r="I103" s="28">
        <f>I43+I44+I46+I48+I50+I51+I52+I53+I54+I60+I64+I47</f>
        <v>-20220.64</v>
      </c>
      <c r="J103" s="228">
        <f>F103/D103</f>
        <v>0.6539181246524359</v>
      </c>
      <c r="K103" s="28">
        <f>#N/A</f>
        <v>36542.33</v>
      </c>
      <c r="L103" s="28">
        <f>#N/A</f>
        <v>1679.7299999999998</v>
      </c>
      <c r="M103" s="28">
        <f>#N/A</f>
        <v>11.903468751773548</v>
      </c>
      <c r="N103" s="28">
        <f>N43+N44+N46+N48+N50+N51+N52+N53+N54+N60+N64+N47+N66</f>
        <v>5277.6</v>
      </c>
      <c r="O103" s="227">
        <f>O43+O44+O46+O48+O50+O51+O52+O53+O54+O60+O64+O47+O66</f>
        <v>6372.929999999999</v>
      </c>
      <c r="P103" s="28">
        <f>#N/A</f>
        <v>1095.5300000000002</v>
      </c>
      <c r="Q103" s="228">
        <f>O103/N103</f>
        <v>1.2075432014552068</v>
      </c>
    </row>
    <row r="104" spans="2:17" ht="15" hidden="1">
      <c r="B104" s="4" t="s">
        <v>118</v>
      </c>
      <c r="D104" s="28">
        <f>SUM(D102:D103)</f>
        <v>1357491.1</v>
      </c>
      <c r="E104" s="28">
        <f>#N/A</f>
        <v>762542.7</v>
      </c>
      <c r="F104" s="227">
        <f>#N/A</f>
        <v>766035.78</v>
      </c>
      <c r="G104" s="28">
        <f>#N/A</f>
        <v>3498.3300000000872</v>
      </c>
      <c r="H104" s="228">
        <f>F104/E104</f>
        <v>1.0045808319979983</v>
      </c>
      <c r="I104" s="28">
        <f>#N/A</f>
        <v>-591450.0700000001</v>
      </c>
      <c r="J104" s="228">
        <f>F104/D104</f>
        <v>0.5643026167906368</v>
      </c>
      <c r="K104" s="28">
        <f>#N/A</f>
        <v>36542.33</v>
      </c>
      <c r="L104" s="28">
        <f>#N/A</f>
        <v>1679.7299999999998</v>
      </c>
      <c r="M104" s="28">
        <f>#N/A</f>
        <v>11.903468751773548</v>
      </c>
      <c r="N104" s="28">
        <f>#N/A</f>
        <v>123743.40000000004</v>
      </c>
      <c r="O104" s="227">
        <f>#N/A</f>
        <v>122488.24999999997</v>
      </c>
      <c r="P104" s="28">
        <f>#N/A</f>
        <v>-1255.1500000000656</v>
      </c>
      <c r="Q104" s="228">
        <f>O104/N104</f>
        <v>0.9898568327684542</v>
      </c>
    </row>
    <row r="105" spans="4:19" ht="15" hidden="1">
      <c r="D105" s="28">
        <f>D67-D104</f>
        <v>0</v>
      </c>
      <c r="E105" s="28">
        <f>#N/A</f>
        <v>0</v>
      </c>
      <c r="F105" s="28">
        <f>#N/A</f>
        <v>23.869999999995343</v>
      </c>
      <c r="G105" s="28">
        <f>#N/A</f>
        <v>18.61999999998261</v>
      </c>
      <c r="H105" s="228"/>
      <c r="I105" s="28">
        <f>#N/A</f>
        <v>18.619999999995343</v>
      </c>
      <c r="J105" s="228"/>
      <c r="K105" s="28">
        <f>#N/A</f>
        <v>544065.4500000001</v>
      </c>
      <c r="L105" s="28">
        <f>#N/A</f>
        <v>183772.13999999998</v>
      </c>
      <c r="M105" s="28">
        <f>#N/A</f>
        <v>-10.584058856852746</v>
      </c>
      <c r="N105" s="28">
        <f>#N/A</f>
        <v>0</v>
      </c>
      <c r="O105" s="28">
        <f>#N/A</f>
        <v>22.69000000000233</v>
      </c>
      <c r="P105" s="28">
        <f>#N/A</f>
        <v>22.690000000000964</v>
      </c>
      <c r="Q105" s="28"/>
      <c r="R105" s="28">
        <f>#N/A</f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79774.99999999996</v>
      </c>
    </row>
    <row r="108" spans="2:5" ht="15" hidden="1">
      <c r="B108" s="242" t="s">
        <v>153</v>
      </c>
      <c r="E108" s="28">
        <f>E88-E83-E76-E77</f>
        <v>20085.800000000003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75428.66</v>
      </c>
      <c r="F111" s="189">
        <f>F88+F110</f>
        <v>38340.86</v>
      </c>
      <c r="G111" s="190">
        <f>F111-E111</f>
        <v>-37087.8</v>
      </c>
      <c r="H111" s="191">
        <f>F111/E111*100</f>
        <v>50.83062591858321</v>
      </c>
      <c r="I111" s="192">
        <f>F111-D111</f>
        <v>-279723.39</v>
      </c>
      <c r="J111" s="192">
        <f>F111/D111*100</f>
        <v>12.054438686523241</v>
      </c>
      <c r="K111" s="192">
        <v>3039.87</v>
      </c>
      <c r="L111" s="192">
        <f>F111-K111</f>
        <v>35300.99</v>
      </c>
      <c r="M111" s="266">
        <f>F111/K111</f>
        <v>12.612664357357387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837971.36</v>
      </c>
      <c r="F112" s="189">
        <f>F111+F67</f>
        <v>804400.5900000001</v>
      </c>
      <c r="G112" s="190">
        <f>F112-E112</f>
        <v>-33570.7699999999</v>
      </c>
      <c r="H112" s="191">
        <f>F112/E112*100</f>
        <v>95.99380460926494</v>
      </c>
      <c r="I112" s="192">
        <f>F112-D112</f>
        <v>-871154.76</v>
      </c>
      <c r="J112" s="192">
        <f>F112/D112*100</f>
        <v>48.00799866145872</v>
      </c>
      <c r="K112" s="192">
        <f>K89+K111</f>
        <v>606374.85</v>
      </c>
      <c r="L112" s="192">
        <f>F112-K112</f>
        <v>198025.7400000001</v>
      </c>
      <c r="M112" s="266">
        <f>F112/K112</f>
        <v>1.3265731420094355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>#N/A</f>
        <v>1222868.6900000002</v>
      </c>
      <c r="E113" s="241">
        <f>#N/A</f>
        <v>550655.6</v>
      </c>
      <c r="F113" s="241">
        <f>#N/A</f>
        <v>545829.08</v>
      </c>
      <c r="G113" s="241">
        <f>#N/A</f>
        <v>-4826.520000000019</v>
      </c>
      <c r="H113" s="241">
        <f>F113/E113*100</f>
        <v>99.12349570221387</v>
      </c>
      <c r="I113" s="35">
        <f>#N/A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>#N/A</f>
        <v>1222868.6900000002</v>
      </c>
      <c r="E114" s="241">
        <f>#N/A</f>
        <v>550655.6</v>
      </c>
      <c r="F114" s="241">
        <f>#N/A</f>
        <v>545829.08</v>
      </c>
      <c r="G114" s="241">
        <f>#N/A</f>
        <v>-4826.520000000019</v>
      </c>
      <c r="H114" s="241">
        <f>#N/A</f>
        <v>99.12349570221387</v>
      </c>
      <c r="I114" s="35">
        <f>#N/A</f>
        <v>-677039.6100000002</v>
      </c>
      <c r="J114" s="35">
        <f>#N/A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>#N/A</f>
        <v>-4826.520000000019</v>
      </c>
      <c r="H115" s="241">
        <f>#N/A</f>
        <v>99.12349570221387</v>
      </c>
      <c r="I115" s="35">
        <f>#N/A</f>
        <v>-677039.6100000002</v>
      </c>
      <c r="J115" s="35">
        <f>#N/A</f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>#N/A</f>
        <v>-3734.029999999999</v>
      </c>
      <c r="H116" s="241">
        <f>#N/A</f>
        <v>95.0108160470321</v>
      </c>
      <c r="I116" s="35">
        <f>#N/A</f>
        <v>-240704.93000000002</v>
      </c>
      <c r="J116" s="35">
        <f>#N/A</f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>#N/A</f>
        <v>-707.6699999999837</v>
      </c>
      <c r="H117" s="241">
        <f>#N/A</f>
        <v>99.80061079304002</v>
      </c>
      <c r="I117" s="35">
        <f>#N/A</f>
        <v>-54436.96000000002</v>
      </c>
      <c r="J117" s="35">
        <f>#N/A</f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>#N/A</f>
        <v>-16.159999999999997</v>
      </c>
      <c r="H118" s="241">
        <f>#N/A</f>
        <v>71.64912280701755</v>
      </c>
      <c r="I118" s="35">
        <f>#N/A</f>
        <v>-186.85999999999999</v>
      </c>
      <c r="J118" s="35">
        <f>#N/A</f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>#N/A</f>
        <v>0</v>
      </c>
      <c r="H119" s="241">
        <f>#N/A</f>
        <v>100</v>
      </c>
      <c r="I119" s="35">
        <f>#N/A</f>
        <v>-187142.9</v>
      </c>
      <c r="J119" s="35">
        <f>#N/A</f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>#N/A</f>
        <v>0</v>
      </c>
      <c r="H120" s="241">
        <f>#N/A</f>
        <v>100</v>
      </c>
      <c r="I120" s="35">
        <f>#N/A</f>
        <v>-178707.6</v>
      </c>
      <c r="J120" s="35">
        <f>#N/A</f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>#N/A</f>
        <v>-460.1399999999999</v>
      </c>
      <c r="H121" s="241">
        <f>#N/A</f>
        <v>89.02806292160552</v>
      </c>
      <c r="I121" s="35">
        <f>#N/A</f>
        <v>-12505.44</v>
      </c>
      <c r="J121" s="35">
        <f>#N/A</f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>#N/A</f>
        <v>165.7</v>
      </c>
      <c r="H122" s="241">
        <f>#N/A</f>
        <v>0</v>
      </c>
      <c r="I122" s="35">
        <f>#N/A</f>
        <v>165.7</v>
      </c>
      <c r="J122" s="35" t="e">
        <f>#N/A</f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>#N/A</f>
        <v>-74.22000000000003</v>
      </c>
      <c r="H123" s="241">
        <f>#N/A</f>
        <v>91.84305967688756</v>
      </c>
      <c r="I123" s="35">
        <f>#N/A</f>
        <v>-3520.6200000000003</v>
      </c>
      <c r="J123" s="35">
        <f>#N/A</f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1388626.96</v>
      </c>
      <c r="F124" s="274">
        <f>F112+F113</f>
        <v>1350229.67</v>
      </c>
      <c r="G124" s="275">
        <f>#N/A</f>
        <v>-38397.37000000011</v>
      </c>
      <c r="H124" s="274">
        <f>#N/A</f>
        <v>97.23486788705297</v>
      </c>
      <c r="I124" s="276">
        <f>#N/A</f>
        <v>-1548194.4500000002</v>
      </c>
      <c r="J124" s="276">
        <f>#N/A</f>
        <v>46.58495690644354</v>
      </c>
      <c r="Q124" s="240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10" sqref="N10:N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32" t="s">
        <v>203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85"/>
      <c r="S1" s="85"/>
    </row>
    <row r="2" spans="2:19" s="1" customFormat="1" ht="15.75" customHeight="1">
      <c r="B2" s="333"/>
      <c r="C2" s="333"/>
      <c r="D2" s="33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4"/>
      <c r="B3" s="336"/>
      <c r="C3" s="337" t="s">
        <v>0</v>
      </c>
      <c r="D3" s="338" t="s">
        <v>137</v>
      </c>
      <c r="E3" s="31"/>
      <c r="F3" s="339" t="s">
        <v>26</v>
      </c>
      <c r="G3" s="340"/>
      <c r="H3" s="340"/>
      <c r="I3" s="340"/>
      <c r="J3" s="341"/>
      <c r="K3" s="82"/>
      <c r="L3" s="82"/>
      <c r="M3" s="82"/>
      <c r="N3" s="342" t="s">
        <v>199</v>
      </c>
      <c r="O3" s="343" t="s">
        <v>200</v>
      </c>
      <c r="P3" s="343"/>
      <c r="Q3" s="343"/>
      <c r="R3" s="343"/>
      <c r="S3" s="343"/>
    </row>
    <row r="4" spans="1:19" ht="22.5" customHeight="1">
      <c r="A4" s="334"/>
      <c r="B4" s="336"/>
      <c r="C4" s="337"/>
      <c r="D4" s="338"/>
      <c r="E4" s="344" t="s">
        <v>196</v>
      </c>
      <c r="F4" s="326" t="s">
        <v>33</v>
      </c>
      <c r="G4" s="317" t="s">
        <v>197</v>
      </c>
      <c r="H4" s="328" t="s">
        <v>198</v>
      </c>
      <c r="I4" s="317" t="s">
        <v>125</v>
      </c>
      <c r="J4" s="328" t="s">
        <v>126</v>
      </c>
      <c r="K4" s="84" t="s">
        <v>128</v>
      </c>
      <c r="L4" s="202" t="s">
        <v>111</v>
      </c>
      <c r="M4" s="89" t="s">
        <v>63</v>
      </c>
      <c r="N4" s="328"/>
      <c r="O4" s="330" t="s">
        <v>204</v>
      </c>
      <c r="P4" s="317" t="s">
        <v>49</v>
      </c>
      <c r="Q4" s="319" t="s">
        <v>48</v>
      </c>
      <c r="R4" s="90" t="s">
        <v>64</v>
      </c>
      <c r="S4" s="90"/>
    </row>
    <row r="5" spans="1:19" ht="67.5" customHeight="1">
      <c r="A5" s="335"/>
      <c r="B5" s="336"/>
      <c r="C5" s="337"/>
      <c r="D5" s="338"/>
      <c r="E5" s="345"/>
      <c r="F5" s="327"/>
      <c r="G5" s="318"/>
      <c r="H5" s="329"/>
      <c r="I5" s="318"/>
      <c r="J5" s="329"/>
      <c r="K5" s="320" t="s">
        <v>201</v>
      </c>
      <c r="L5" s="321"/>
      <c r="M5" s="322"/>
      <c r="N5" s="329"/>
      <c r="O5" s="331"/>
      <c r="P5" s="318"/>
      <c r="Q5" s="319"/>
      <c r="R5" s="323" t="s">
        <v>202</v>
      </c>
      <c r="S5" s="324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609470.12</v>
      </c>
      <c r="G8" s="149">
        <f>#N/A</f>
        <v>594.5200000000186</v>
      </c>
      <c r="H8" s="150">
        <f>F8/E8*100</f>
        <v>100.09764227701028</v>
      </c>
      <c r="I8" s="151">
        <f>F8-D8</f>
        <v>-688980.9800000001</v>
      </c>
      <c r="J8" s="151">
        <f>F8/D8*100</f>
        <v>46.93824203314241</v>
      </c>
      <c r="K8" s="149">
        <v>465511.42</v>
      </c>
      <c r="L8" s="149">
        <f>#N/A</f>
        <v>143958.7</v>
      </c>
      <c r="M8" s="203">
        <f>#N/A</f>
        <v>1.3092484820243508</v>
      </c>
      <c r="N8" s="149">
        <f>N9+N15+N18+N19+N23+N17</f>
        <v>104172</v>
      </c>
      <c r="O8" s="149">
        <f>O9+O15+O18+O19+O23+O17</f>
        <v>104374.15999999999</v>
      </c>
      <c r="P8" s="149">
        <f>O8-N8</f>
        <v>202.15999999998894</v>
      </c>
      <c r="Q8" s="149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351542.38</v>
      </c>
      <c r="G9" s="148">
        <f>#N/A</f>
        <v>2302.3800000000047</v>
      </c>
      <c r="H9" s="155">
        <f>F9/E9*100</f>
        <v>100.65925438094148</v>
      </c>
      <c r="I9" s="156">
        <f>F9-D9</f>
        <v>-415102.62</v>
      </c>
      <c r="J9" s="156">
        <f>F9/D9*100</f>
        <v>45.854649805320584</v>
      </c>
      <c r="K9" s="225">
        <v>261442.54</v>
      </c>
      <c r="L9" s="157">
        <f>#N/A</f>
        <v>90099.84</v>
      </c>
      <c r="M9" s="204">
        <f>#N/A</f>
        <v>1.344625782781945</v>
      </c>
      <c r="N9" s="155">
        <f>E9-травень!E9</f>
        <v>70400</v>
      </c>
      <c r="O9" s="158">
        <f>F9-травень!F9</f>
        <v>69910.79999999999</v>
      </c>
      <c r="P9" s="159">
        <f>O9-N9</f>
        <v>-489.20000000001164</v>
      </c>
      <c r="Q9" s="156">
        <f>O9/N9*100</f>
        <v>99.30511363636361</v>
      </c>
      <c r="R9" s="99">
        <v>71000</v>
      </c>
      <c r="S9" s="99">
        <f>O9-R9</f>
        <v>-1089.2000000000116</v>
      </c>
    </row>
    <row r="10" spans="1:19" s="6" customFormat="1" ht="15" customHeight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322544.76</v>
      </c>
      <c r="G10" s="102">
        <f>#N/A</f>
        <v>4480.760000000009</v>
      </c>
      <c r="H10" s="29">
        <f>#N/A</f>
        <v>101.40876050103125</v>
      </c>
      <c r="I10" s="103">
        <f>#N/A</f>
        <v>-378772.24</v>
      </c>
      <c r="J10" s="103">
        <f>#N/A</f>
        <v>45.991293523470844</v>
      </c>
      <c r="K10" s="105">
        <v>231268.41</v>
      </c>
      <c r="L10" s="105">
        <f>#N/A</f>
        <v>91276.35</v>
      </c>
      <c r="M10" s="205">
        <f>#N/A</f>
        <v>1.394677119975011</v>
      </c>
      <c r="N10" s="104">
        <f>E10-травень!E10</f>
        <v>64904</v>
      </c>
      <c r="O10" s="142">
        <f>F10-травень!F10</f>
        <v>64965.580000000016</v>
      </c>
      <c r="P10" s="105">
        <f>#N/A</f>
        <v>61.5800000000163</v>
      </c>
      <c r="Q10" s="103">
        <f>#N/A</f>
        <v>100.09487858991744</v>
      </c>
      <c r="R10" s="36"/>
      <c r="S10" s="99">
        <f>#N/A</f>
        <v>64965.580000000016</v>
      </c>
    </row>
    <row r="11" spans="1:19" s="6" customFormat="1" ht="15" customHeight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19085.89</v>
      </c>
      <c r="G11" s="102">
        <f>#N/A</f>
        <v>-3114.1100000000006</v>
      </c>
      <c r="H11" s="29">
        <f>#N/A</f>
        <v>85.97247747747747</v>
      </c>
      <c r="I11" s="103">
        <f>#N/A</f>
        <v>-27420.11</v>
      </c>
      <c r="J11" s="103">
        <f>#N/A</f>
        <v>41.039629295144714</v>
      </c>
      <c r="K11" s="105">
        <v>18032.25</v>
      </c>
      <c r="L11" s="105">
        <f>#N/A</f>
        <v>1053.6399999999994</v>
      </c>
      <c r="M11" s="205">
        <f>#N/A</f>
        <v>1.0584308669189924</v>
      </c>
      <c r="N11" s="104">
        <f>E11-травень!E11</f>
        <v>3840</v>
      </c>
      <c r="O11" s="142">
        <f>F11-травень!F11</f>
        <v>3265.99</v>
      </c>
      <c r="P11" s="105">
        <f>#N/A</f>
        <v>-574.0100000000002</v>
      </c>
      <c r="Q11" s="103">
        <f>#N/A</f>
        <v>85.05182291666667</v>
      </c>
      <c r="R11" s="36"/>
      <c r="S11" s="99">
        <f>#N/A</f>
        <v>3265.99</v>
      </c>
    </row>
    <row r="12" spans="1:19" s="6" customFormat="1" ht="15" customHeight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4513.03</v>
      </c>
      <c r="G12" s="102">
        <f>#N/A</f>
        <v>673.0299999999997</v>
      </c>
      <c r="H12" s="29">
        <f>#N/A</f>
        <v>117.52682291666665</v>
      </c>
      <c r="I12" s="103">
        <f>#N/A</f>
        <v>-3766.9700000000003</v>
      </c>
      <c r="J12" s="103">
        <f>#N/A</f>
        <v>54.50519323671498</v>
      </c>
      <c r="K12" s="105">
        <v>5288.66</v>
      </c>
      <c r="L12" s="105">
        <f>#N/A</f>
        <v>-775.6300000000001</v>
      </c>
      <c r="M12" s="205">
        <f>#N/A</f>
        <v>0.85334092189704</v>
      </c>
      <c r="N12" s="104">
        <f>E12-травень!E12</f>
        <v>900</v>
      </c>
      <c r="O12" s="142">
        <f>F12-травень!F12</f>
        <v>770.7699999999995</v>
      </c>
      <c r="P12" s="105">
        <f>#N/A</f>
        <v>-129.23000000000047</v>
      </c>
      <c r="Q12" s="103">
        <f>#N/A</f>
        <v>85.64111111111106</v>
      </c>
      <c r="R12" s="36"/>
      <c r="S12" s="99">
        <f>#N/A</f>
        <v>770.7699999999995</v>
      </c>
    </row>
    <row r="13" spans="1:19" s="6" customFormat="1" ht="15" customHeight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4691.17</v>
      </c>
      <c r="G13" s="102">
        <f>#N/A</f>
        <v>131.17000000000007</v>
      </c>
      <c r="H13" s="29">
        <f>#N/A</f>
        <v>102.8765350877193</v>
      </c>
      <c r="I13" s="103">
        <f>#N/A</f>
        <v>-4698.83</v>
      </c>
      <c r="J13" s="103">
        <f>#N/A</f>
        <v>49.95921192758254</v>
      </c>
      <c r="K13" s="105">
        <v>4452.61</v>
      </c>
      <c r="L13" s="105">
        <f>#N/A</f>
        <v>238.5600000000004</v>
      </c>
      <c r="M13" s="205">
        <f>#N/A</f>
        <v>1.053577564619403</v>
      </c>
      <c r="N13" s="104">
        <f>E13-травень!E13</f>
        <v>660</v>
      </c>
      <c r="O13" s="142">
        <f>F13-травень!F13</f>
        <v>808.5799999999999</v>
      </c>
      <c r="P13" s="105">
        <f>#N/A</f>
        <v>148.57999999999993</v>
      </c>
      <c r="Q13" s="103">
        <f>#N/A</f>
        <v>122.5121212121212</v>
      </c>
      <c r="R13" s="36"/>
      <c r="S13" s="99">
        <f>#N/A</f>
        <v>808.5799999999999</v>
      </c>
    </row>
    <row r="14" spans="1:19" s="6" customFormat="1" ht="15" customHeight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707.53</v>
      </c>
      <c r="G14" s="102">
        <f>#N/A</f>
        <v>131.52999999999997</v>
      </c>
      <c r="H14" s="29">
        <f>#N/A</f>
        <v>122.83506944444444</v>
      </c>
      <c r="I14" s="103">
        <f>#N/A</f>
        <v>-444.47</v>
      </c>
      <c r="J14" s="103">
        <f>#N/A</f>
        <v>61.41753472222222</v>
      </c>
      <c r="K14" s="105">
        <v>2400.61</v>
      </c>
      <c r="L14" s="105">
        <f>#N/A</f>
        <v>-1693.0800000000002</v>
      </c>
      <c r="M14" s="205">
        <f>#N/A</f>
        <v>0.29472925631402014</v>
      </c>
      <c r="N14" s="104">
        <f>E14-травень!E14</f>
        <v>96</v>
      </c>
      <c r="O14" s="142">
        <f>F14-травень!F14</f>
        <v>99.88</v>
      </c>
      <c r="P14" s="105">
        <f>#N/A</f>
        <v>3.8799999999999955</v>
      </c>
      <c r="Q14" s="103">
        <f>#N/A</f>
        <v>104.04166666666666</v>
      </c>
      <c r="R14" s="36"/>
      <c r="S14" s="99">
        <f>#N/A</f>
        <v>99.88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>#N/A</f>
        <v>-296.44</v>
      </c>
      <c r="H15" s="155">
        <f>F15/E15*100</f>
        <v>13.067448680351907</v>
      </c>
      <c r="I15" s="156">
        <f>#N/A</f>
        <v>-506.44</v>
      </c>
      <c r="J15" s="156">
        <f>F15/D15*100</f>
        <v>8.087114337568059</v>
      </c>
      <c r="K15" s="159">
        <v>309.24</v>
      </c>
      <c r="L15" s="159">
        <f>#N/A</f>
        <v>-264.68</v>
      </c>
      <c r="M15" s="206">
        <f>#N/A</f>
        <v>0.14409520113827448</v>
      </c>
      <c r="N15" s="162">
        <f>E15-травень!E15</f>
        <v>0</v>
      </c>
      <c r="O15" s="166">
        <f>F15-травень!F15</f>
        <v>0</v>
      </c>
      <c r="P15" s="159">
        <f>#N/A</f>
        <v>0</v>
      </c>
      <c r="Q15" s="156"/>
      <c r="R15" s="36">
        <v>0</v>
      </c>
      <c r="S15" s="99">
        <f>#N/A</f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>#N/A</f>
        <v>0</v>
      </c>
      <c r="H16" s="155" t="e">
        <f>F16/E16/100</f>
        <v>#DIV/0!</v>
      </c>
      <c r="I16" s="36">
        <f>#N/A</f>
        <v>0</v>
      </c>
      <c r="J16" s="36" t="e">
        <f>#N/A</f>
        <v>#DIV/0!</v>
      </c>
      <c r="K16" s="105">
        <v>381.9</v>
      </c>
      <c r="L16" s="159">
        <f>#N/A</f>
        <v>-381.9</v>
      </c>
      <c r="M16" s="206">
        <f>#N/A</f>
        <v>0</v>
      </c>
      <c r="N16" s="162">
        <f>E16-травень!E16</f>
        <v>0</v>
      </c>
      <c r="O16" s="166">
        <f>F16-травень!F16</f>
        <v>0</v>
      </c>
      <c r="P16" s="35">
        <f>#N/A</f>
        <v>0</v>
      </c>
      <c r="Q16" s="156" t="e">
        <f>#N/A</f>
        <v>#DIV/0!</v>
      </c>
      <c r="R16" s="103">
        <f>O16-358.81</f>
        <v>-358.81</v>
      </c>
      <c r="S16" s="99">
        <f>#N/A</f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>#N/A</f>
        <v>0.49</v>
      </c>
      <c r="H17" s="155"/>
      <c r="I17" s="163">
        <f>#N/A</f>
        <v>0.49</v>
      </c>
      <c r="J17" s="163"/>
      <c r="K17" s="165">
        <v>0.17</v>
      </c>
      <c r="L17" s="159">
        <f>#N/A</f>
        <v>0.31999999999999995</v>
      </c>
      <c r="M17" s="206">
        <f>#N/A</f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>#N/A</f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>#N/A</f>
        <v>48.459999999999994</v>
      </c>
      <c r="H18" s="155">
        <f>F18/E18*100</f>
        <v>169.22857142857143</v>
      </c>
      <c r="I18" s="156">
        <f>#N/A</f>
        <v>-6.540000000000006</v>
      </c>
      <c r="J18" s="156">
        <f>#N/A</f>
        <v>94.768</v>
      </c>
      <c r="K18" s="159">
        <v>105.8</v>
      </c>
      <c r="L18" s="159">
        <f>#N/A</f>
        <v>12.659999999999997</v>
      </c>
      <c r="M18" s="206">
        <f>#N/A</f>
        <v>1.1196597353497164</v>
      </c>
      <c r="N18" s="162">
        <f>E18-травень!E18</f>
        <v>0</v>
      </c>
      <c r="O18" s="166">
        <f>F18-травень!F18</f>
        <v>0</v>
      </c>
      <c r="P18" s="159">
        <f>#N/A</f>
        <v>0</v>
      </c>
      <c r="Q18" s="156"/>
      <c r="R18" s="36">
        <v>0</v>
      </c>
      <c r="S18" s="99">
        <f>#N/A</f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53960.11</v>
      </c>
      <c r="G19" s="160">
        <f>#N/A</f>
        <v>-5639.889999999999</v>
      </c>
      <c r="H19" s="162">
        <f>#N/A</f>
        <v>90.53709731543624</v>
      </c>
      <c r="I19" s="163">
        <f>#N/A</f>
        <v>-76039.89</v>
      </c>
      <c r="J19" s="163">
        <f>#N/A</f>
        <v>41.507776923076925</v>
      </c>
      <c r="K19" s="159">
        <v>44512.02</v>
      </c>
      <c r="L19" s="165">
        <f>#N/A</f>
        <v>9448.090000000004</v>
      </c>
      <c r="M19" s="211">
        <f>#N/A</f>
        <v>1.2122592953543785</v>
      </c>
      <c r="N19" s="162">
        <f>E19-травень!E19</f>
        <v>11200</v>
      </c>
      <c r="O19" s="166">
        <f>F19-травень!F19</f>
        <v>8965.020000000004</v>
      </c>
      <c r="P19" s="165">
        <f>#N/A</f>
        <v>-2234.979999999996</v>
      </c>
      <c r="Q19" s="163">
        <f>#N/A</f>
        <v>80.04482142857147</v>
      </c>
      <c r="R19" s="291">
        <v>8800</v>
      </c>
      <c r="S19" s="99">
        <f>#N/A</f>
        <v>165.02000000000407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31235.26</v>
      </c>
      <c r="G20" s="250">
        <f>#N/A</f>
        <v>-4664.740000000002</v>
      </c>
      <c r="H20" s="193">
        <f>#N/A</f>
        <v>87.00629526462396</v>
      </c>
      <c r="I20" s="251">
        <f>#N/A</f>
        <v>-45264.740000000005</v>
      </c>
      <c r="J20" s="251">
        <f>#N/A</f>
        <v>40.83040522875817</v>
      </c>
      <c r="K20" s="252">
        <v>44512.02</v>
      </c>
      <c r="L20" s="164">
        <f>#N/A</f>
        <v>-13276.759999999998</v>
      </c>
      <c r="M20" s="253">
        <f>#N/A</f>
        <v>0.7017264100797942</v>
      </c>
      <c r="N20" s="193">
        <f>E20-травень!E20</f>
        <v>6250</v>
      </c>
      <c r="O20" s="177">
        <f>F20-травень!F20</f>
        <v>5106.769999999997</v>
      </c>
      <c r="P20" s="164">
        <f>#N/A</f>
        <v>-1143.2300000000032</v>
      </c>
      <c r="Q20" s="251">
        <f>#N/A</f>
        <v>81.70831999999994</v>
      </c>
      <c r="R20" s="103">
        <v>4450</v>
      </c>
      <c r="S20" s="103">
        <f>#N/A</f>
        <v>656.7699999999968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4748.33</v>
      </c>
      <c r="G21" s="250">
        <f>#N/A</f>
        <v>-151.67000000000007</v>
      </c>
      <c r="H21" s="193"/>
      <c r="I21" s="251">
        <f>#N/A</f>
        <v>-5951.67</v>
      </c>
      <c r="J21" s="251">
        <f>#N/A</f>
        <v>44.376915887850465</v>
      </c>
      <c r="K21" s="252">
        <v>0</v>
      </c>
      <c r="L21" s="164">
        <f>#N/A</f>
        <v>4748.33</v>
      </c>
      <c r="M21" s="253"/>
      <c r="N21" s="193">
        <f>E21-травень!E21</f>
        <v>950</v>
      </c>
      <c r="O21" s="177">
        <f>F21-травень!F21</f>
        <v>654.6399999999999</v>
      </c>
      <c r="P21" s="164">
        <f>#N/A</f>
        <v>-295.3600000000001</v>
      </c>
      <c r="Q21" s="251"/>
      <c r="R21" s="103">
        <v>900</v>
      </c>
      <c r="S21" s="103">
        <f>#N/A</f>
        <v>-245.36000000000013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17976.52</v>
      </c>
      <c r="G22" s="250">
        <f>#N/A</f>
        <v>-823.4799999999996</v>
      </c>
      <c r="H22" s="193"/>
      <c r="I22" s="251">
        <f>#N/A</f>
        <v>-24823.48</v>
      </c>
      <c r="J22" s="251">
        <f>#N/A</f>
        <v>42.001214953271024</v>
      </c>
      <c r="K22" s="252">
        <v>0</v>
      </c>
      <c r="L22" s="164">
        <f>#N/A</f>
        <v>17976.52</v>
      </c>
      <c r="M22" s="253"/>
      <c r="N22" s="193">
        <f>E22-травень!E22</f>
        <v>4000</v>
      </c>
      <c r="O22" s="177">
        <f>F22-травень!F22</f>
        <v>3203.6000000000004</v>
      </c>
      <c r="P22" s="164">
        <f>#N/A</f>
        <v>-796.3999999999996</v>
      </c>
      <c r="Q22" s="251"/>
      <c r="R22" s="103">
        <v>3800</v>
      </c>
      <c r="S22" s="103">
        <f>#N/A</f>
        <v>-596.3999999999996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203804.12</v>
      </c>
      <c r="G23" s="148">
        <f>#N/A</f>
        <v>4179.520000000019</v>
      </c>
      <c r="H23" s="155">
        <f>#N/A</f>
        <v>102.09368985585945</v>
      </c>
      <c r="I23" s="156">
        <f>#N/A</f>
        <v>-197325.97999999998</v>
      </c>
      <c r="J23" s="156">
        <f>#N/A</f>
        <v>50.80748614975541</v>
      </c>
      <c r="K23" s="156">
        <v>159141.65</v>
      </c>
      <c r="L23" s="159">
        <f>#N/A</f>
        <v>44662.47</v>
      </c>
      <c r="M23" s="207">
        <f>#N/A</f>
        <v>1.2806460156722015</v>
      </c>
      <c r="N23" s="155">
        <f>E23-травень!E23</f>
        <v>22572</v>
      </c>
      <c r="O23" s="158">
        <f>F23-травень!F23</f>
        <v>25498.339999999997</v>
      </c>
      <c r="P23" s="159">
        <f>#N/A</f>
        <v>2926.3399999999965</v>
      </c>
      <c r="Q23" s="156">
        <f>#N/A</f>
        <v>112.96446925394292</v>
      </c>
      <c r="R23" s="285">
        <f>R24+R33+R35</f>
        <v>22714</v>
      </c>
      <c r="S23" s="291">
        <f>#N/A</f>
        <v>2784.3399999999965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99393.67</v>
      </c>
      <c r="G24" s="148">
        <f>#N/A</f>
        <v>720.7700000000041</v>
      </c>
      <c r="H24" s="155">
        <f>#N/A</f>
        <v>100.73046398757917</v>
      </c>
      <c r="I24" s="156">
        <f>#N/A</f>
        <v>-107227.33</v>
      </c>
      <c r="J24" s="156">
        <f>#N/A</f>
        <v>48.10434079788599</v>
      </c>
      <c r="K24" s="156">
        <v>85994.38</v>
      </c>
      <c r="L24" s="159">
        <f>#N/A</f>
        <v>13399.289999999994</v>
      </c>
      <c r="M24" s="207">
        <f>#N/A</f>
        <v>1.1558158800609992</v>
      </c>
      <c r="N24" s="155">
        <f>E24-травень!E24</f>
        <v>15965</v>
      </c>
      <c r="O24" s="158">
        <f>F24-травень!F24</f>
        <v>17661.539999999994</v>
      </c>
      <c r="P24" s="159">
        <f>#N/A</f>
        <v>1696.5399999999936</v>
      </c>
      <c r="Q24" s="156">
        <f>#N/A</f>
        <v>110.62662073285307</v>
      </c>
      <c r="R24" s="290">
        <f>R25+R28+R29</f>
        <v>15007</v>
      </c>
      <c r="S24" s="290">
        <f>#N/A</f>
        <v>2654.5399999999936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11085.53</v>
      </c>
      <c r="G25" s="169">
        <f>#N/A</f>
        <v>696.4300000000003</v>
      </c>
      <c r="H25" s="171">
        <f>#N/A</f>
        <v>106.70346805786835</v>
      </c>
      <c r="I25" s="172">
        <f>#N/A</f>
        <v>-11723.47</v>
      </c>
      <c r="J25" s="172">
        <f>#N/A</f>
        <v>48.60156078740848</v>
      </c>
      <c r="K25" s="173">
        <v>9233.59</v>
      </c>
      <c r="L25" s="164">
        <f>#N/A</f>
        <v>1851.9400000000005</v>
      </c>
      <c r="M25" s="213">
        <f>#N/A</f>
        <v>1.200565543845893</v>
      </c>
      <c r="N25" s="193">
        <f>E25-травень!E25</f>
        <v>805</v>
      </c>
      <c r="O25" s="177">
        <f>F25-травень!F25</f>
        <v>949.4899999999998</v>
      </c>
      <c r="P25" s="175">
        <f>#N/A</f>
        <v>144.48999999999978</v>
      </c>
      <c r="Q25" s="172">
        <f>#N/A</f>
        <v>117.94906832298133</v>
      </c>
      <c r="R25" s="103">
        <v>800</v>
      </c>
      <c r="S25" s="103">
        <f>#N/A</f>
        <v>149.48999999999978</v>
      </c>
    </row>
    <row r="26" spans="1:19" s="6" customFormat="1" ht="18" customHeight="1">
      <c r="A26" s="8"/>
      <c r="B26" s="194" t="s">
        <v>107</v>
      </c>
      <c r="C26" s="195"/>
      <c r="D26" s="196">
        <v>1822.3</v>
      </c>
      <c r="E26" s="196">
        <v>710</v>
      </c>
      <c r="F26" s="161">
        <v>213.26</v>
      </c>
      <c r="G26" s="196">
        <f>#N/A</f>
        <v>-496.74</v>
      </c>
      <c r="H26" s="197">
        <f>#N/A</f>
        <v>30.036619718309858</v>
      </c>
      <c r="I26" s="198">
        <f>#N/A</f>
        <v>-1609.04</v>
      </c>
      <c r="J26" s="198">
        <f>#N/A</f>
        <v>11.702793173462108</v>
      </c>
      <c r="K26" s="198">
        <v>342.1</v>
      </c>
      <c r="L26" s="198">
        <f>#N/A</f>
        <v>-128.84000000000003</v>
      </c>
      <c r="M26" s="226">
        <f>#N/A</f>
        <v>0.6233849751534638</v>
      </c>
      <c r="N26" s="234">
        <f>E26-травень!E26</f>
        <v>105</v>
      </c>
      <c r="O26" s="234">
        <f>F26-травень!F26</f>
        <v>15.98999999999998</v>
      </c>
      <c r="P26" s="198">
        <f>#N/A</f>
        <v>-89.01000000000002</v>
      </c>
      <c r="Q26" s="198">
        <f>#N/A</f>
        <v>15.22857142857141</v>
      </c>
      <c r="R26" s="103"/>
      <c r="S26" s="103">
        <f>#N/A</f>
        <v>15.98999999999998</v>
      </c>
    </row>
    <row r="27" spans="1:19" s="6" customFormat="1" ht="18" customHeight="1">
      <c r="A27" s="8"/>
      <c r="B27" s="194" t="s">
        <v>108</v>
      </c>
      <c r="C27" s="195"/>
      <c r="D27" s="196">
        <v>20986.7</v>
      </c>
      <c r="E27" s="196">
        <v>9679.1</v>
      </c>
      <c r="F27" s="161">
        <v>10872.26</v>
      </c>
      <c r="G27" s="196">
        <f>#N/A</f>
        <v>1193.1599999999999</v>
      </c>
      <c r="H27" s="197">
        <f>#N/A</f>
        <v>112.32717917988242</v>
      </c>
      <c r="I27" s="198">
        <f>#N/A</f>
        <v>-10114.44</v>
      </c>
      <c r="J27" s="198">
        <f>#N/A</f>
        <v>51.80547680197458</v>
      </c>
      <c r="K27" s="198">
        <v>8891.49</v>
      </c>
      <c r="L27" s="198">
        <f>#N/A</f>
        <v>1980.7700000000004</v>
      </c>
      <c r="M27" s="226">
        <f>#N/A</f>
        <v>1.2227714365083917</v>
      </c>
      <c r="N27" s="234">
        <f>E27-травень!E27</f>
        <v>700</v>
      </c>
      <c r="O27" s="234">
        <f>F27-травень!F27</f>
        <v>933.4899999999998</v>
      </c>
      <c r="P27" s="198">
        <f>#N/A</f>
        <v>233.48999999999978</v>
      </c>
      <c r="Q27" s="198">
        <f>#N/A</f>
        <v>133.35571428571424</v>
      </c>
      <c r="R27" s="103"/>
      <c r="S27" s="103">
        <f>#N/A</f>
        <v>933.4899999999998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-89.23</v>
      </c>
      <c r="G28" s="169">
        <f>#N/A</f>
        <v>-223.03000000000003</v>
      </c>
      <c r="H28" s="171">
        <f>#N/A</f>
        <v>-66.68908819133034</v>
      </c>
      <c r="I28" s="172">
        <f>#N/A</f>
        <v>-909.23</v>
      </c>
      <c r="J28" s="172">
        <f>#N/A</f>
        <v>-10.88170731707317</v>
      </c>
      <c r="K28" s="172">
        <v>435.05</v>
      </c>
      <c r="L28" s="172">
        <f>#N/A</f>
        <v>-524.28</v>
      </c>
      <c r="M28" s="210">
        <f>#N/A</f>
        <v>-0.2051028617400299</v>
      </c>
      <c r="N28" s="193">
        <f>E28-травень!E28</f>
        <v>5</v>
      </c>
      <c r="O28" s="177">
        <f>F28-травень!F28</f>
        <v>-43.75000000000001</v>
      </c>
      <c r="P28" s="175">
        <f>#N/A</f>
        <v>-48.75000000000001</v>
      </c>
      <c r="Q28" s="172">
        <f>O28/N28*100</f>
        <v>-875.0000000000002</v>
      </c>
      <c r="R28" s="103">
        <v>-25</v>
      </c>
      <c r="S28" s="103">
        <f>#N/A</f>
        <v>-18.750000000000007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88397.37</v>
      </c>
      <c r="G29" s="169">
        <f>#N/A</f>
        <v>247.36999999999534</v>
      </c>
      <c r="H29" s="171">
        <f>#N/A</f>
        <v>100.28062393647193</v>
      </c>
      <c r="I29" s="172">
        <f>#N/A</f>
        <v>-94594.63</v>
      </c>
      <c r="J29" s="172">
        <f>#N/A</f>
        <v>48.3066855381656</v>
      </c>
      <c r="K29" s="173">
        <v>76325.75</v>
      </c>
      <c r="L29" s="173">
        <f>#N/A</f>
        <v>12071.619999999995</v>
      </c>
      <c r="M29" s="209">
        <f>#N/A</f>
        <v>1.1581592057726258</v>
      </c>
      <c r="N29" s="193">
        <f>E29-травень!E29</f>
        <v>15155</v>
      </c>
      <c r="O29" s="177">
        <f>F29-травень!F29</f>
        <v>16755.79999999999</v>
      </c>
      <c r="P29" s="175">
        <f>#N/A</f>
        <v>1600.7999999999884</v>
      </c>
      <c r="Q29" s="172">
        <f>O29/N29*100</f>
        <v>110.56285054437471</v>
      </c>
      <c r="R29" s="103">
        <v>14232</v>
      </c>
      <c r="S29" s="103">
        <f>#N/A</f>
        <v>2523.7999999999884</v>
      </c>
    </row>
    <row r="30" spans="1:19" s="6" customFormat="1" ht="18" customHeight="1">
      <c r="A30" s="8"/>
      <c r="B30" s="194" t="s">
        <v>109</v>
      </c>
      <c r="C30" s="195"/>
      <c r="D30" s="196">
        <v>57533</v>
      </c>
      <c r="E30" s="196">
        <v>26780</v>
      </c>
      <c r="F30" s="161">
        <v>30657.95</v>
      </c>
      <c r="G30" s="196">
        <f>#N/A</f>
        <v>3877.9500000000007</v>
      </c>
      <c r="H30" s="197">
        <f>#N/A</f>
        <v>114.48076923076924</v>
      </c>
      <c r="I30" s="198">
        <f>#N/A</f>
        <v>-26875.05</v>
      </c>
      <c r="J30" s="198">
        <f>#N/A</f>
        <v>53.28759146924374</v>
      </c>
      <c r="K30" s="198">
        <v>23736.85</v>
      </c>
      <c r="L30" s="198">
        <f>#N/A</f>
        <v>6921.100000000002</v>
      </c>
      <c r="M30" s="226">
        <f>#N/A</f>
        <v>1.291576177968012</v>
      </c>
      <c r="N30" s="234">
        <f>E30-травень!E30</f>
        <v>4700</v>
      </c>
      <c r="O30" s="234">
        <f>F30-травень!F30</f>
        <v>6506.709999999999</v>
      </c>
      <c r="P30" s="198">
        <f>#N/A</f>
        <v>1806.7099999999991</v>
      </c>
      <c r="Q30" s="198">
        <f>O30/N30*100</f>
        <v>138.4406382978723</v>
      </c>
      <c r="R30" s="106"/>
      <c r="S30" s="99">
        <f>#N/A</f>
        <v>6506.709999999999</v>
      </c>
    </row>
    <row r="31" spans="1:19" s="6" customFormat="1" ht="18" customHeight="1">
      <c r="A31" s="8"/>
      <c r="B31" s="194" t="s">
        <v>110</v>
      </c>
      <c r="C31" s="195"/>
      <c r="D31" s="196">
        <v>125459</v>
      </c>
      <c r="E31" s="196">
        <v>61370</v>
      </c>
      <c r="F31" s="161">
        <v>57739.42</v>
      </c>
      <c r="G31" s="196">
        <f>#N/A</f>
        <v>-3630.5800000000017</v>
      </c>
      <c r="H31" s="197">
        <f>#N/A</f>
        <v>94.08411275867688</v>
      </c>
      <c r="I31" s="198">
        <f>#N/A</f>
        <v>-67719.58</v>
      </c>
      <c r="J31" s="198">
        <f>#N/A</f>
        <v>46.022541228608546</v>
      </c>
      <c r="K31" s="198">
        <v>52588.89</v>
      </c>
      <c r="L31" s="198">
        <f>#N/A</f>
        <v>5150.529999999999</v>
      </c>
      <c r="M31" s="226">
        <f>#N/A</f>
        <v>1.0979395077553453</v>
      </c>
      <c r="N31" s="234">
        <f>E31-травень!E31</f>
        <v>10455</v>
      </c>
      <c r="O31" s="234">
        <f>F31-травень!F31</f>
        <v>10249.089999999997</v>
      </c>
      <c r="P31" s="198">
        <f>#N/A</f>
        <v>-205.9100000000035</v>
      </c>
      <c r="Q31" s="198">
        <f>O31/N31*100</f>
        <v>98.03051171688185</v>
      </c>
      <c r="R31" s="106"/>
      <c r="S31" s="99">
        <f>#N/A</f>
        <v>10249.089999999997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>#N/A</f>
        <v>0.2</v>
      </c>
      <c r="H32" s="155"/>
      <c r="I32" s="156">
        <f>#N/A</f>
        <v>0.2</v>
      </c>
      <c r="J32" s="156"/>
      <c r="K32" s="165">
        <v>0</v>
      </c>
      <c r="L32" s="156">
        <f>#N/A</f>
        <v>0.2</v>
      </c>
      <c r="M32" s="208"/>
      <c r="N32" s="155">
        <f>E32-травень!E32</f>
        <v>0</v>
      </c>
      <c r="O32" s="158">
        <f>F32-травень!F32</f>
        <v>0</v>
      </c>
      <c r="P32" s="159">
        <f>#N/A</f>
        <v>0</v>
      </c>
      <c r="Q32" s="156"/>
      <c r="R32" s="290"/>
      <c r="S32" s="290">
        <f>#N/A</f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79.23</v>
      </c>
      <c r="G33" s="148">
        <f>#N/A</f>
        <v>33.230000000000004</v>
      </c>
      <c r="H33" s="155">
        <f>#N/A</f>
        <v>172.23913043478262</v>
      </c>
      <c r="I33" s="156">
        <f>#N/A</f>
        <v>-35.769999999999996</v>
      </c>
      <c r="J33" s="156">
        <f>#N/A</f>
        <v>68.89565217391305</v>
      </c>
      <c r="K33" s="156">
        <v>55.62</v>
      </c>
      <c r="L33" s="156">
        <f>#N/A</f>
        <v>23.610000000000007</v>
      </c>
      <c r="M33" s="208">
        <f>F33/K33</f>
        <v>1.424487594390507</v>
      </c>
      <c r="N33" s="155">
        <f>E33-травень!E33</f>
        <v>7</v>
      </c>
      <c r="O33" s="158">
        <f>F33-травень!F33</f>
        <v>4</v>
      </c>
      <c r="P33" s="159">
        <f>#N/A</f>
        <v>-3</v>
      </c>
      <c r="Q33" s="156">
        <f>O33/N33*100</f>
        <v>57.14285714285714</v>
      </c>
      <c r="R33" s="290">
        <v>7</v>
      </c>
      <c r="S33" s="290">
        <f>#N/A</f>
        <v>-3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>#N/A</f>
        <v>-31.32</v>
      </c>
      <c r="H34" s="155"/>
      <c r="I34" s="156">
        <f>#N/A</f>
        <v>-31.32</v>
      </c>
      <c r="J34" s="156"/>
      <c r="K34" s="156">
        <v>-125.04</v>
      </c>
      <c r="L34" s="156">
        <f>#N/A</f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>#N/A</f>
        <v>-4.550000000000001</v>
      </c>
      <c r="Q34" s="156"/>
      <c r="R34" s="290"/>
      <c r="S34" s="290">
        <f>#N/A</f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104362.34</v>
      </c>
      <c r="G35" s="160">
        <f>#N/A</f>
        <v>3456.6399999999994</v>
      </c>
      <c r="H35" s="162">
        <f>#N/A</f>
        <v>103.42561421208119</v>
      </c>
      <c r="I35" s="163">
        <f>#N/A</f>
        <v>-90031.76000000001</v>
      </c>
      <c r="J35" s="163">
        <f>#N/A</f>
        <v>53.6859606335789</v>
      </c>
      <c r="K35" s="176">
        <v>73216.69</v>
      </c>
      <c r="L35" s="176">
        <f>F35-K35</f>
        <v>31145.649999999994</v>
      </c>
      <c r="M35" s="224">
        <f>F35/K35</f>
        <v>1.4253900306064096</v>
      </c>
      <c r="N35" s="155">
        <f>E35-травень!E35</f>
        <v>6600</v>
      </c>
      <c r="O35" s="158">
        <f>F35-травень!F35</f>
        <v>7837.349999999991</v>
      </c>
      <c r="P35" s="165">
        <f>#N/A</f>
        <v>1237.3499999999913</v>
      </c>
      <c r="Q35" s="163">
        <f>O35/N35*100</f>
        <v>118.74772727272713</v>
      </c>
      <c r="R35" s="290">
        <v>7700</v>
      </c>
      <c r="S35" s="290">
        <f>#N/A</f>
        <v>137.34999999999127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>#N/A</f>
        <v>0.01</v>
      </c>
      <c r="H36" s="104"/>
      <c r="I36" s="103">
        <f>#N/A</f>
        <v>0.01</v>
      </c>
      <c r="J36" s="103"/>
      <c r="K36" s="126">
        <v>0.18</v>
      </c>
      <c r="L36" s="126">
        <f>#N/A</f>
        <v>-0.16999999999999998</v>
      </c>
      <c r="M36" s="214">
        <f>#N/A</f>
        <v>0.05555555555555556</v>
      </c>
      <c r="N36" s="104">
        <f>E36-травень!E36</f>
        <v>0</v>
      </c>
      <c r="O36" s="142">
        <f>F36-травень!F36</f>
        <v>0</v>
      </c>
      <c r="P36" s="105">
        <f>#N/A</f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20288.06</v>
      </c>
      <c r="G37" s="102">
        <f>#N/A</f>
        <v>268.0600000000013</v>
      </c>
      <c r="H37" s="104">
        <f>#N/A</f>
        <v>101.33896103896105</v>
      </c>
      <c r="I37" s="103">
        <f>#N/A</f>
        <v>-20711.94</v>
      </c>
      <c r="J37" s="103">
        <f>#N/A</f>
        <v>49.483073170731714</v>
      </c>
      <c r="K37" s="126">
        <v>18313.06</v>
      </c>
      <c r="L37" s="126">
        <f>#N/A</f>
        <v>1975</v>
      </c>
      <c r="M37" s="214">
        <f>#N/A</f>
        <v>1.1078465313825214</v>
      </c>
      <c r="N37" s="104">
        <f>E37-травень!E37</f>
        <v>1100</v>
      </c>
      <c r="O37" s="142">
        <f>F37-травень!F37</f>
        <v>1026.3700000000026</v>
      </c>
      <c r="P37" s="105">
        <f>#N/A</f>
        <v>-73.62999999999738</v>
      </c>
      <c r="Q37" s="103">
        <f>O37/N37*100</f>
        <v>93.30636363636387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84050.77</v>
      </c>
      <c r="G38" s="102">
        <f>#N/A</f>
        <v>3190.770000000004</v>
      </c>
      <c r="H38" s="104">
        <f>#N/A</f>
        <v>103.94604254266635</v>
      </c>
      <c r="I38" s="103">
        <f>#N/A</f>
        <v>-69288.33</v>
      </c>
      <c r="J38" s="103">
        <f>#N/A</f>
        <v>54.813658095032515</v>
      </c>
      <c r="K38" s="126">
        <v>54889.45</v>
      </c>
      <c r="L38" s="126">
        <f>#N/A</f>
        <v>29161.320000000007</v>
      </c>
      <c r="M38" s="214">
        <f>#N/A</f>
        <v>1.5312736782751515</v>
      </c>
      <c r="N38" s="104">
        <f>E38-травень!E38</f>
        <v>5500</v>
      </c>
      <c r="O38" s="142">
        <f>F38-травень!F38</f>
        <v>6810.580000000002</v>
      </c>
      <c r="P38" s="105">
        <f>#N/A</f>
        <v>1310.5800000000017</v>
      </c>
      <c r="Q38" s="103">
        <f>O38/N38*100</f>
        <v>123.8287272727273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23.5</v>
      </c>
      <c r="G39" s="102">
        <f>#N/A</f>
        <v>-2.1999999999999993</v>
      </c>
      <c r="H39" s="104">
        <f>#N/A</f>
        <v>91.43968871595331</v>
      </c>
      <c r="I39" s="103">
        <f>#N/A</f>
        <v>-31.5</v>
      </c>
      <c r="J39" s="103">
        <f>#N/A</f>
        <v>42.72727272727273</v>
      </c>
      <c r="K39" s="126">
        <v>14.01</v>
      </c>
      <c r="L39" s="126">
        <f>#N/A</f>
        <v>9.49</v>
      </c>
      <c r="M39" s="214">
        <f>#N/A</f>
        <v>1.6773733047822983</v>
      </c>
      <c r="N39" s="104">
        <f>E39-травень!E39</f>
        <v>0</v>
      </c>
      <c r="O39" s="142">
        <f>F39-травень!F39</f>
        <v>0.41000000000000014</v>
      </c>
      <c r="P39" s="105">
        <f>#N/A</f>
        <v>0.41000000000000014</v>
      </c>
      <c r="Q39" s="103"/>
      <c r="R39" s="106"/>
      <c r="S39" s="106"/>
    </row>
    <row r="40" spans="1:19" s="6" customFormat="1" ht="15" customHeight="1">
      <c r="A40" s="8"/>
      <c r="B40" s="229" t="s">
        <v>211</v>
      </c>
      <c r="C40" s="42">
        <v>220102</v>
      </c>
      <c r="D40" s="33">
        <v>0</v>
      </c>
      <c r="E40" s="33">
        <v>0</v>
      </c>
      <c r="F40" s="287">
        <v>0.69</v>
      </c>
      <c r="G40" s="33">
        <f>#N/A</f>
        <v>0.69</v>
      </c>
      <c r="H40" s="29"/>
      <c r="I40" s="36">
        <f>#N/A</f>
        <v>0.69</v>
      </c>
      <c r="J40" s="36"/>
      <c r="K40" s="118">
        <v>0</v>
      </c>
      <c r="L40" s="118">
        <f>#N/A</f>
        <v>0.69</v>
      </c>
      <c r="M40" s="215" t="e">
        <f>#N/A</f>
        <v>#DIV/0!</v>
      </c>
      <c r="N40" s="155">
        <f>E40-травень!E40</f>
        <v>0</v>
      </c>
      <c r="O40" s="158">
        <f>F40-травень!F40</f>
        <v>0.33999999999999997</v>
      </c>
      <c r="P40" s="35">
        <f>#N/A</f>
        <v>0.33999999999999997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34058.46000000001</v>
      </c>
      <c r="G41" s="149">
        <f>G42+G43+G44+G45+G46+G48+G50+G51+G52+G53+G54+G59+G60+G64</f>
        <v>4118.259999999999</v>
      </c>
      <c r="H41" s="150">
        <f>F41/E41*100</f>
        <v>113.84659096606846</v>
      </c>
      <c r="I41" s="151">
        <f>F41-D41</f>
        <v>-24966.539999999994</v>
      </c>
      <c r="J41" s="151">
        <f>F41/D41*100</f>
        <v>57.701753494282094</v>
      </c>
      <c r="K41" s="149">
        <v>29260.66</v>
      </c>
      <c r="L41" s="149">
        <f>#N/A</f>
        <v>4797.800000000007</v>
      </c>
      <c r="M41" s="203">
        <f>#N/A</f>
        <v>1.1639675933488858</v>
      </c>
      <c r="N41" s="149">
        <f>N42+N43+N44+N45+N46+N48+N50+N51+N52+N53+N54+N59+N60+N64+N47</f>
        <v>5118.8</v>
      </c>
      <c r="O41" s="149">
        <f>O42+O43+O44+O45+O46+O48+O50+O51+O52+O53+O54+O59+O60+O64+O47+O40</f>
        <v>6703.349999999997</v>
      </c>
      <c r="P41" s="149">
        <f>P42+P43+P44+P45+P46+P48+P50+P51+P52+P53+P54+P59+P60+P64</f>
        <v>1521.0099999999984</v>
      </c>
      <c r="Q41" s="149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>#N/A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>#N/A</f>
        <v>1964.6</v>
      </c>
      <c r="M42" s="216">
        <f>#N/A</f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>#N/A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>#N/A</f>
        <v>-346.3600000000006</v>
      </c>
      <c r="H43" s="162">
        <f>#N/A</f>
        <v>97.47182481751825</v>
      </c>
      <c r="I43" s="163">
        <f>#N/A</f>
        <v>-16646.36</v>
      </c>
      <c r="J43" s="163">
        <f>F43/D43*100</f>
        <v>44.51213333333333</v>
      </c>
      <c r="K43" s="163">
        <v>13895.81</v>
      </c>
      <c r="L43" s="163">
        <f>#N/A</f>
        <v>-542.1700000000001</v>
      </c>
      <c r="M43" s="216">
        <f>#N/A</f>
        <v>0.9609832028503557</v>
      </c>
      <c r="N43" s="162">
        <f>E43-травень!E43</f>
        <v>2800</v>
      </c>
      <c r="O43" s="166">
        <f>F43-травень!F43</f>
        <v>2874.4799999999996</v>
      </c>
      <c r="P43" s="165">
        <f>#N/A</f>
        <v>74.47999999999956</v>
      </c>
      <c r="Q43" s="163">
        <f>#N/A</f>
        <v>102.65999999999997</v>
      </c>
      <c r="R43" s="36">
        <v>2874.5</v>
      </c>
      <c r="S43" s="36">
        <f>#N/A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102.8</v>
      </c>
      <c r="G44" s="160">
        <f>#N/A</f>
        <v>80.8</v>
      </c>
      <c r="H44" s="162">
        <f>F44/E44*100</f>
        <v>467.2727272727273</v>
      </c>
      <c r="I44" s="163">
        <f>#N/A</f>
        <v>62.8</v>
      </c>
      <c r="J44" s="163">
        <f>#N/A</f>
        <v>257</v>
      </c>
      <c r="K44" s="163">
        <v>28.07</v>
      </c>
      <c r="L44" s="163">
        <f>#N/A</f>
        <v>74.72999999999999</v>
      </c>
      <c r="M44" s="216">
        <f>#N/A</f>
        <v>3.6622728892055574</v>
      </c>
      <c r="N44" s="162">
        <f>E44-травень!E44</f>
        <v>1</v>
      </c>
      <c r="O44" s="166">
        <f>F44-травень!F44</f>
        <v>10</v>
      </c>
      <c r="P44" s="165">
        <f>#N/A</f>
        <v>9</v>
      </c>
      <c r="Q44" s="163">
        <f>#N/A</f>
        <v>1000</v>
      </c>
      <c r="R44" s="36">
        <v>10</v>
      </c>
      <c r="S44" s="36">
        <f>#N/A</f>
        <v>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>#N/A</f>
        <v>2.03</v>
      </c>
      <c r="H45" s="162" t="e">
        <f>F45/E45*100</f>
        <v>#DIV/0!</v>
      </c>
      <c r="I45" s="163">
        <f>#N/A</f>
        <v>2.03</v>
      </c>
      <c r="J45" s="163" t="e">
        <f>#N/A</f>
        <v>#DIV/0!</v>
      </c>
      <c r="K45" s="163">
        <v>0.1</v>
      </c>
      <c r="L45" s="163">
        <f>#N/A</f>
        <v>1.9299999999999997</v>
      </c>
      <c r="M45" s="216">
        <f>#N/A</f>
        <v>20.299999999999997</v>
      </c>
      <c r="N45" s="162">
        <f>E45-травень!E45</f>
        <v>0</v>
      </c>
      <c r="O45" s="166">
        <f>F45-травень!F45</f>
        <v>0</v>
      </c>
      <c r="P45" s="165">
        <f>#N/A</f>
        <v>0</v>
      </c>
      <c r="Q45" s="163" t="e">
        <f>#N/A</f>
        <v>#DIV/0!</v>
      </c>
      <c r="R45" s="36">
        <v>0</v>
      </c>
      <c r="S45" s="36">
        <f>#N/A</f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501.53</v>
      </c>
      <c r="G46" s="160">
        <f>#N/A</f>
        <v>373.53</v>
      </c>
      <c r="H46" s="162">
        <f>#N/A</f>
        <v>391.8203125</v>
      </c>
      <c r="I46" s="163">
        <f>#N/A</f>
        <v>241.52999999999997</v>
      </c>
      <c r="J46" s="163">
        <f>#N/A</f>
        <v>192.89615384615385</v>
      </c>
      <c r="K46" s="163">
        <v>60.97</v>
      </c>
      <c r="L46" s="163">
        <f>#N/A</f>
        <v>440.55999999999995</v>
      </c>
      <c r="M46" s="216">
        <f>#N/A</f>
        <v>8.225848778087585</v>
      </c>
      <c r="N46" s="162">
        <f>E46-травень!E46</f>
        <v>22</v>
      </c>
      <c r="O46" s="166">
        <f>F46-травень!F46</f>
        <v>59.26999999999998</v>
      </c>
      <c r="P46" s="165">
        <f>#N/A</f>
        <v>37.26999999999998</v>
      </c>
      <c r="Q46" s="163">
        <f>#N/A</f>
        <v>269.4090909090908</v>
      </c>
      <c r="R46" s="36">
        <v>70</v>
      </c>
      <c r="S46" s="36">
        <f>#N/A</f>
        <v>-10.730000000000018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71.01</v>
      </c>
      <c r="G47" s="160">
        <f>#N/A</f>
        <v>23.410000000000004</v>
      </c>
      <c r="H47" s="162">
        <f>#N/A</f>
        <v>149.18067226890756</v>
      </c>
      <c r="I47" s="163">
        <f>#N/A</f>
        <v>-26.489999999999995</v>
      </c>
      <c r="J47" s="163">
        <f>#N/A</f>
        <v>72.83076923076923</v>
      </c>
      <c r="K47" s="163">
        <v>13.6</v>
      </c>
      <c r="L47" s="163">
        <f>#N/A</f>
        <v>57.410000000000004</v>
      </c>
      <c r="M47" s="216"/>
      <c r="N47" s="162">
        <f>E47-травень!E47</f>
        <v>6.800000000000004</v>
      </c>
      <c r="O47" s="166">
        <f>F47-травень!F47</f>
        <v>70</v>
      </c>
      <c r="P47" s="165">
        <f>#N/A</f>
        <v>63.199999999999996</v>
      </c>
      <c r="Q47" s="163">
        <f>#N/A</f>
        <v>1029.4117647058818</v>
      </c>
      <c r="R47" s="36">
        <v>0</v>
      </c>
      <c r="S47" s="36">
        <f>#N/A</f>
        <v>70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628.92</v>
      </c>
      <c r="G48" s="160">
        <f>#N/A</f>
        <v>168.91999999999996</v>
      </c>
      <c r="H48" s="162">
        <f>#N/A</f>
        <v>136.72173913043477</v>
      </c>
      <c r="I48" s="163">
        <f>#N/A</f>
        <v>-101.08000000000004</v>
      </c>
      <c r="J48" s="163">
        <f>#N/A</f>
        <v>86.15342465753425</v>
      </c>
      <c r="K48" s="163">
        <v>168.08</v>
      </c>
      <c r="L48" s="163">
        <f>#N/A</f>
        <v>460.8399999999999</v>
      </c>
      <c r="M48" s="216"/>
      <c r="N48" s="162">
        <f>E48-травень!E48</f>
        <v>60</v>
      </c>
      <c r="O48" s="166">
        <f>F48-травень!F48</f>
        <v>123.78999999999996</v>
      </c>
      <c r="P48" s="165">
        <f>#N/A</f>
        <v>63.789999999999964</v>
      </c>
      <c r="Q48" s="163">
        <f>#N/A</f>
        <v>206.3166666666666</v>
      </c>
      <c r="R48" s="36">
        <v>100</v>
      </c>
      <c r="S48" s="36">
        <f>#N/A</f>
        <v>23.789999999999964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>#N/A</f>
        <v>0</v>
      </c>
      <c r="M49" s="216" t="e">
        <f>#N/A</f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>#N/A</f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8364.31</v>
      </c>
      <c r="G50" s="160">
        <f>#N/A</f>
        <v>2324.3099999999995</v>
      </c>
      <c r="H50" s="162">
        <f>#N/A</f>
        <v>138.4819536423841</v>
      </c>
      <c r="I50" s="163">
        <f>#N/A</f>
        <v>-2635.6900000000005</v>
      </c>
      <c r="J50" s="163">
        <f>#N/A</f>
        <v>76.03918181818182</v>
      </c>
      <c r="K50" s="163">
        <v>5001.06</v>
      </c>
      <c r="L50" s="163">
        <f>#N/A</f>
        <v>3363.249999999999</v>
      </c>
      <c r="M50" s="216">
        <f>#N/A</f>
        <v>1.6725074284251735</v>
      </c>
      <c r="N50" s="162">
        <f>E50-травень!E50</f>
        <v>900</v>
      </c>
      <c r="O50" s="166">
        <f>F50-травень!F50</f>
        <v>2114.039999999999</v>
      </c>
      <c r="P50" s="165">
        <f>#N/A</f>
        <v>1214.039999999999</v>
      </c>
      <c r="Q50" s="163">
        <f>#N/A</f>
        <v>234.89333333333323</v>
      </c>
      <c r="R50" s="36">
        <v>1400</v>
      </c>
      <c r="S50" s="36">
        <f>#N/A</f>
        <v>714.039999999999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262.81</v>
      </c>
      <c r="G51" s="160">
        <f>#N/A</f>
        <v>112.81</v>
      </c>
      <c r="H51" s="162">
        <f>#N/A</f>
        <v>175.20666666666668</v>
      </c>
      <c r="I51" s="163">
        <f>#N/A</f>
        <v>-47.19</v>
      </c>
      <c r="J51" s="163">
        <f>#N/A</f>
        <v>84.77741935483871</v>
      </c>
      <c r="K51" s="163">
        <v>68.92</v>
      </c>
      <c r="L51" s="163">
        <f>#N/A</f>
        <v>193.89</v>
      </c>
      <c r="M51" s="216"/>
      <c r="N51" s="162">
        <f>E51-травень!E51</f>
        <v>25</v>
      </c>
      <c r="O51" s="166">
        <f>F51-травень!F51</f>
        <v>46.46000000000001</v>
      </c>
      <c r="P51" s="165">
        <f>#N/A</f>
        <v>21.460000000000008</v>
      </c>
      <c r="Q51" s="163">
        <f>#N/A</f>
        <v>185.84000000000003</v>
      </c>
      <c r="R51" s="36">
        <v>40</v>
      </c>
      <c r="S51" s="36">
        <f>#N/A</f>
        <v>6.460000000000008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18.72</v>
      </c>
      <c r="G52" s="160">
        <f>#N/A</f>
        <v>7.719999999999999</v>
      </c>
      <c r="H52" s="162">
        <f>#N/A</f>
        <v>170.18181818181816</v>
      </c>
      <c r="I52" s="163">
        <f>#N/A</f>
        <v>-1.2800000000000011</v>
      </c>
      <c r="J52" s="163">
        <f>#N/A</f>
        <v>93.6</v>
      </c>
      <c r="K52" s="163">
        <v>8.54</v>
      </c>
      <c r="L52" s="163">
        <f>#N/A</f>
        <v>10.18</v>
      </c>
      <c r="M52" s="216"/>
      <c r="N52" s="162">
        <f>E52-травень!E52</f>
        <v>4</v>
      </c>
      <c r="O52" s="166">
        <f>F52-травень!F52</f>
        <v>6.399999999999999</v>
      </c>
      <c r="P52" s="165">
        <f>#N/A</f>
        <v>2.3999999999999986</v>
      </c>
      <c r="Q52" s="163">
        <f>#N/A</f>
        <v>159.99999999999997</v>
      </c>
      <c r="R52" s="36">
        <v>4</v>
      </c>
      <c r="S52" s="36">
        <f>#N/A</f>
        <v>2.3999999999999986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>#N/A</f>
        <v>-377.6500000000001</v>
      </c>
      <c r="H53" s="162">
        <f>#N/A</f>
        <v>89.63923182441701</v>
      </c>
      <c r="I53" s="163">
        <f>#N/A</f>
        <v>-4007.65</v>
      </c>
      <c r="J53" s="163">
        <f>#N/A</f>
        <v>44.912027491408935</v>
      </c>
      <c r="K53" s="163">
        <v>3928.05</v>
      </c>
      <c r="L53" s="163">
        <f>#N/A</f>
        <v>-660.7000000000003</v>
      </c>
      <c r="M53" s="216">
        <f>#N/A</f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>#N/A</f>
        <v>-58.970000000000255</v>
      </c>
      <c r="Q53" s="163">
        <f>#N/A</f>
        <v>90.25289256198343</v>
      </c>
      <c r="R53" s="36">
        <v>550</v>
      </c>
      <c r="S53" s="36">
        <f>#N/A</f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388.42</v>
      </c>
      <c r="G54" s="160">
        <f>#N/A</f>
        <v>-181.57999999999998</v>
      </c>
      <c r="H54" s="162">
        <f>#N/A</f>
        <v>68.1438596491228</v>
      </c>
      <c r="I54" s="163">
        <f>#N/A</f>
        <v>-811.5799999999999</v>
      </c>
      <c r="J54" s="163">
        <f>#N/A</f>
        <v>32.36833333333333</v>
      </c>
      <c r="K54" s="163">
        <v>3094.63</v>
      </c>
      <c r="L54" s="163">
        <f>#N/A</f>
        <v>-2706.21</v>
      </c>
      <c r="M54" s="216">
        <f>#N/A</f>
        <v>0.12551419717381398</v>
      </c>
      <c r="N54" s="162">
        <f>E54-травень!E54</f>
        <v>95</v>
      </c>
      <c r="O54" s="166">
        <f>F54-травень!F54</f>
        <v>54.900000000000034</v>
      </c>
      <c r="P54" s="165">
        <f>#N/A</f>
        <v>-40.099999999999966</v>
      </c>
      <c r="Q54" s="163">
        <f>#N/A</f>
        <v>57.789473684210556</v>
      </c>
      <c r="R54" s="36">
        <v>50</v>
      </c>
      <c r="S54" s="36">
        <f>#N/A</f>
        <v>4.900000000000034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332.53</v>
      </c>
      <c r="G55" s="33">
        <f>#N/A</f>
        <v>-147.47000000000003</v>
      </c>
      <c r="H55" s="29">
        <f>#N/A</f>
        <v>69.27708333333332</v>
      </c>
      <c r="I55" s="103">
        <f>#N/A</f>
        <v>-665.47</v>
      </c>
      <c r="J55" s="103">
        <f>#N/A</f>
        <v>33.31963927855711</v>
      </c>
      <c r="K55" s="103">
        <v>420.67</v>
      </c>
      <c r="L55" s="103">
        <f>F55-K55</f>
        <v>-88.14000000000004</v>
      </c>
      <c r="M55" s="108">
        <f>#N/A</f>
        <v>0.7904770960610453</v>
      </c>
      <c r="N55" s="104">
        <f>E55-травень!E55</f>
        <v>80</v>
      </c>
      <c r="O55" s="142">
        <f>F55-травень!F55</f>
        <v>42.14999999999998</v>
      </c>
      <c r="P55" s="105">
        <f>#N/A</f>
        <v>-37.85000000000002</v>
      </c>
      <c r="Q55" s="118">
        <f>#N/A</f>
        <v>52.68749999999998</v>
      </c>
      <c r="R55" s="36"/>
      <c r="S55" s="36">
        <f>#N/A</f>
        <v>42.14999999999998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>#N/A</f>
        <v>0.15</v>
      </c>
      <c r="H56" s="29" t="e">
        <f>#N/A</f>
        <v>#DIV/0!</v>
      </c>
      <c r="I56" s="103">
        <f>#N/A</f>
        <v>-0.85</v>
      </c>
      <c r="J56" s="103">
        <f>#N/A</f>
        <v>15</v>
      </c>
      <c r="K56" s="103">
        <v>0.24</v>
      </c>
      <c r="L56" s="103">
        <f>F56-K56</f>
        <v>-0.09</v>
      </c>
      <c r="M56" s="108">
        <f>#N/A</f>
        <v>0.625</v>
      </c>
      <c r="N56" s="104">
        <f>E56-травень!E56</f>
        <v>0</v>
      </c>
      <c r="O56" s="142">
        <f>F56-травень!F56</f>
        <v>0</v>
      </c>
      <c r="P56" s="105">
        <f>#N/A</f>
        <v>0</v>
      </c>
      <c r="Q56" s="118" t="e">
        <f>#N/A</f>
        <v>#DIV/0!</v>
      </c>
      <c r="R56" s="36"/>
      <c r="S56" s="36">
        <f>#N/A</f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>#N/A</f>
        <v>0</v>
      </c>
      <c r="H57" s="29"/>
      <c r="I57" s="103">
        <f>#N/A</f>
        <v>-1</v>
      </c>
      <c r="J57" s="103">
        <f>#N/A</f>
        <v>0</v>
      </c>
      <c r="K57" s="103">
        <v>0.02</v>
      </c>
      <c r="L57" s="103">
        <f>F57-K57</f>
        <v>-0.02</v>
      </c>
      <c r="M57" s="108">
        <f>#N/A</f>
        <v>0</v>
      </c>
      <c r="N57" s="104">
        <f>E57-травень!E57</f>
        <v>0</v>
      </c>
      <c r="O57" s="142">
        <f>F57-травень!F57</f>
        <v>0</v>
      </c>
      <c r="P57" s="105">
        <f>#N/A</f>
        <v>0</v>
      </c>
      <c r="Q57" s="118"/>
      <c r="R57" s="36"/>
      <c r="S57" s="36">
        <f>#N/A</f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55.74</v>
      </c>
      <c r="G58" s="33">
        <f>#N/A</f>
        <v>-34.26</v>
      </c>
      <c r="H58" s="29">
        <f>#N/A</f>
        <v>61.93333333333334</v>
      </c>
      <c r="I58" s="103">
        <f>#N/A</f>
        <v>-144.26</v>
      </c>
      <c r="J58" s="103">
        <f>#N/A</f>
        <v>27.87</v>
      </c>
      <c r="K58" s="103">
        <v>2673.71</v>
      </c>
      <c r="L58" s="103">
        <f>F58-K58</f>
        <v>-2617.9700000000003</v>
      </c>
      <c r="M58" s="108">
        <f>#N/A</f>
        <v>0.020847436707795534</v>
      </c>
      <c r="N58" s="104">
        <f>E58-травень!E58</f>
        <v>15</v>
      </c>
      <c r="O58" s="142">
        <f>F58-травень!F58</f>
        <v>12.740000000000002</v>
      </c>
      <c r="P58" s="105">
        <f>#N/A</f>
        <v>-2.259999999999998</v>
      </c>
      <c r="Q58" s="118">
        <f>#N/A</f>
        <v>84.93333333333335</v>
      </c>
      <c r="R58" s="36"/>
      <c r="S58" s="36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>#N/A</f>
        <v>-0.45999999999999996</v>
      </c>
      <c r="H59" s="162"/>
      <c r="I59" s="163">
        <f>#N/A</f>
        <v>-0.45999999999999996</v>
      </c>
      <c r="J59" s="163">
        <f>#N/A</f>
        <v>81.60000000000001</v>
      </c>
      <c r="K59" s="163">
        <v>2.46</v>
      </c>
      <c r="L59" s="163">
        <f>F59-K59</f>
        <v>-0.41999999999999993</v>
      </c>
      <c r="M59" s="216">
        <f>#N/A</f>
        <v>0.8292682926829269</v>
      </c>
      <c r="N59" s="162">
        <f>E59-травень!E59</f>
        <v>0</v>
      </c>
      <c r="O59" s="166">
        <f>F59-травень!F59</f>
        <v>0</v>
      </c>
      <c r="P59" s="165">
        <f>#N/A</f>
        <v>0</v>
      </c>
      <c r="Q59" s="163"/>
      <c r="R59" s="36">
        <v>0</v>
      </c>
      <c r="S59" s="36">
        <f>#N/A</f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4834.78</v>
      </c>
      <c r="G60" s="160">
        <f>#N/A</f>
        <v>-25.220000000000255</v>
      </c>
      <c r="H60" s="162">
        <f>#N/A</f>
        <v>99.48106995884774</v>
      </c>
      <c r="I60" s="163">
        <f>#N/A</f>
        <v>-2515.2200000000003</v>
      </c>
      <c r="J60" s="163">
        <f>#N/A</f>
        <v>65.77931972789115</v>
      </c>
      <c r="K60" s="163">
        <v>2709.14</v>
      </c>
      <c r="L60" s="163">
        <f>#N/A</f>
        <v>2125.64</v>
      </c>
      <c r="M60" s="216">
        <f>#N/A</f>
        <v>1.7846179968550906</v>
      </c>
      <c r="N60" s="162">
        <f>E60-травень!E60</f>
        <v>600</v>
      </c>
      <c r="O60" s="166">
        <f>F60-травень!F60</f>
        <v>797.6399999999999</v>
      </c>
      <c r="P60" s="165">
        <f>#N/A</f>
        <v>197.63999999999987</v>
      </c>
      <c r="Q60" s="163">
        <f>#N/A</f>
        <v>132.93999999999997</v>
      </c>
      <c r="R60" s="36">
        <v>500</v>
      </c>
      <c r="S60" s="36">
        <f>#N/A</f>
        <v>297.6399999999999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>#N/A</f>
        <v>0</v>
      </c>
      <c r="H61" s="162" t="e">
        <f>#N/A</f>
        <v>#DIV/0!</v>
      </c>
      <c r="I61" s="163">
        <f>#N/A</f>
        <v>0</v>
      </c>
      <c r="J61" s="163" t="e">
        <f>#N/A</f>
        <v>#DIV/0!</v>
      </c>
      <c r="K61" s="163"/>
      <c r="L61" s="163">
        <f>#N/A</f>
        <v>0</v>
      </c>
      <c r="M61" s="216" t="e">
        <f>#N/A</f>
        <v>#DIV/0!</v>
      </c>
      <c r="N61" s="162">
        <f>E61-травень!E61</f>
        <v>0</v>
      </c>
      <c r="O61" s="166">
        <f>F61-квітень!F61</f>
        <v>0</v>
      </c>
      <c r="P61" s="165">
        <f>#N/A</f>
        <v>0</v>
      </c>
      <c r="Q61" s="163" t="e">
        <f>#N/A</f>
        <v>#DIV/0!</v>
      </c>
      <c r="R61" s="36"/>
      <c r="S61" s="36">
        <f>#N/A</f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1069.71</v>
      </c>
      <c r="G62" s="160"/>
      <c r="H62" s="162"/>
      <c r="I62" s="163"/>
      <c r="J62" s="163"/>
      <c r="K62" s="164">
        <v>592.26</v>
      </c>
      <c r="L62" s="163">
        <f>#N/A</f>
        <v>477.45000000000005</v>
      </c>
      <c r="M62" s="216">
        <f>#N/A</f>
        <v>1.8061493263093913</v>
      </c>
      <c r="N62" s="193"/>
      <c r="O62" s="177">
        <f>F62-травень!F62</f>
        <v>186.12</v>
      </c>
      <c r="P62" s="164"/>
      <c r="Q62" s="163"/>
      <c r="R62" s="36"/>
      <c r="S62" s="36">
        <f>#N/A</f>
        <v>186.12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>#N/A</f>
        <v>0</v>
      </c>
      <c r="H63" s="162"/>
      <c r="I63" s="163">
        <f>#N/A</f>
        <v>0</v>
      </c>
      <c r="J63" s="163"/>
      <c r="K63" s="164"/>
      <c r="L63" s="163">
        <f>#N/A</f>
        <v>0</v>
      </c>
      <c r="M63" s="216" t="e">
        <f>#N/A</f>
        <v>#DIV/0!</v>
      </c>
      <c r="N63" s="162">
        <f>E63-лютий!E60</f>
        <v>0</v>
      </c>
      <c r="O63" s="166">
        <f>F63-лютий!F60</f>
        <v>0</v>
      </c>
      <c r="P63" s="165">
        <f>#N/A</f>
        <v>0</v>
      </c>
      <c r="Q63" s="163"/>
      <c r="R63" s="36"/>
      <c r="S63" s="36">
        <f>#N/A</f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>#N/A</f>
        <v>34.64</v>
      </c>
      <c r="H64" s="162">
        <f>#N/A</f>
        <v>273.20000000000005</v>
      </c>
      <c r="I64" s="163">
        <f>#N/A</f>
        <v>-105.36</v>
      </c>
      <c r="J64" s="163">
        <f>#N/A</f>
        <v>34.150000000000006</v>
      </c>
      <c r="K64" s="163">
        <v>41.05</v>
      </c>
      <c r="L64" s="163">
        <f>#N/A</f>
        <v>13.590000000000003</v>
      </c>
      <c r="M64" s="216">
        <f>#N/A</f>
        <v>1.331059683313033</v>
      </c>
      <c r="N64" s="162">
        <f>E64-травень!E64</f>
        <v>0</v>
      </c>
      <c r="O64" s="166">
        <f>F64-травень!F64</f>
        <v>0</v>
      </c>
      <c r="P64" s="165">
        <f>#N/A</f>
        <v>0</v>
      </c>
      <c r="Q64" s="163"/>
      <c r="R64" s="36">
        <v>0</v>
      </c>
      <c r="S64" s="36">
        <f>#N/A</f>
        <v>0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25.38</v>
      </c>
      <c r="G65" s="160">
        <f>#N/A</f>
        <v>17.78</v>
      </c>
      <c r="H65" s="162">
        <f>#N/A</f>
        <v>333.94736842105266</v>
      </c>
      <c r="I65" s="163">
        <f>#N/A</f>
        <v>10.379999999999999</v>
      </c>
      <c r="J65" s="163">
        <f>#N/A</f>
        <v>169.2</v>
      </c>
      <c r="K65" s="163">
        <v>13.52</v>
      </c>
      <c r="L65" s="163">
        <f>#N/A</f>
        <v>11.86</v>
      </c>
      <c r="M65" s="216">
        <f>#N/A</f>
        <v>1.8772189349112427</v>
      </c>
      <c r="N65" s="162">
        <f>E65-травень!E65</f>
        <v>1.1999999999999993</v>
      </c>
      <c r="O65" s="166">
        <f>F65-травень!F65</f>
        <v>3.0299999999999976</v>
      </c>
      <c r="P65" s="165">
        <f>#N/A</f>
        <v>1.8299999999999983</v>
      </c>
      <c r="Q65" s="163">
        <f>#N/A</f>
        <v>252.49999999999994</v>
      </c>
      <c r="R65" s="36">
        <v>3.2</v>
      </c>
      <c r="S65" s="36">
        <f>#N/A</f>
        <v>-0.1700000000000026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>#N/A</f>
        <v>-5.25</v>
      </c>
      <c r="H66" s="162"/>
      <c r="I66" s="163">
        <f>#N/A</f>
        <v>-5.25</v>
      </c>
      <c r="J66" s="163"/>
      <c r="K66" s="163">
        <v>0.4</v>
      </c>
      <c r="L66" s="163">
        <f>#N/A</f>
        <v>-5.65</v>
      </c>
      <c r="M66" s="216">
        <f>#N/A</f>
        <v>-13.125</v>
      </c>
      <c r="N66" s="162">
        <f>E66-травень!E66</f>
        <v>0</v>
      </c>
      <c r="O66" s="166">
        <f>F66-травень!F66</f>
        <v>0</v>
      </c>
      <c r="P66" s="165">
        <f>#N/A</f>
        <v>0</v>
      </c>
      <c r="Q66" s="163"/>
      <c r="R66" s="36">
        <v>0</v>
      </c>
      <c r="S66" s="36">
        <f>#N/A</f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643548.71</v>
      </c>
      <c r="G67" s="149">
        <f>F67-E67</f>
        <v>4749.410000000033</v>
      </c>
      <c r="H67" s="150">
        <f>F67/E67*100</f>
        <v>100.74349016976068</v>
      </c>
      <c r="I67" s="151">
        <f>F67-D67</f>
        <v>-713942.3900000001</v>
      </c>
      <c r="J67" s="151">
        <f>F67/D67*100</f>
        <v>47.40721394048181</v>
      </c>
      <c r="K67" s="151">
        <v>494785.99</v>
      </c>
      <c r="L67" s="151">
        <f>F67-K67</f>
        <v>148762.71999999997</v>
      </c>
      <c r="M67" s="217">
        <f>F67/K67</f>
        <v>1.3006607361699953</v>
      </c>
      <c r="N67" s="149">
        <f>N8+N41+N65+N66</f>
        <v>109292</v>
      </c>
      <c r="O67" s="149">
        <f>O8+O41+O65+O66</f>
        <v>111080.53999999998</v>
      </c>
      <c r="P67" s="153">
        <f>O67-N67</f>
        <v>1788.539999999979</v>
      </c>
      <c r="Q67" s="151">
        <f>O67/N67*100</f>
        <v>101.63647842477033</v>
      </c>
      <c r="R67" s="26">
        <f>R8+R41+R65+R66</f>
        <v>108115.7</v>
      </c>
      <c r="S67" s="277">
        <f>O67-R67</f>
        <v>2964.839999999982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>#N/A</f>
        <v>35.57</v>
      </c>
      <c r="H75" s="184"/>
      <c r="I75" s="185">
        <f>#N/A</f>
        <v>35.57</v>
      </c>
      <c r="J75" s="185"/>
      <c r="K75" s="185">
        <v>0</v>
      </c>
      <c r="L75" s="185">
        <f>#N/A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>#N/A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3.72</v>
      </c>
      <c r="G76" s="160">
        <f>#N/A</f>
        <v>-8996.28</v>
      </c>
      <c r="H76" s="162">
        <f>F76/E76*100</f>
        <v>0.04133333333333334</v>
      </c>
      <c r="I76" s="165">
        <f>#N/A</f>
        <v>-104202.31</v>
      </c>
      <c r="J76" s="165">
        <f>F76/D76*100</f>
        <v>0.0035698509961467682</v>
      </c>
      <c r="K76" s="165">
        <v>1042.02</v>
      </c>
      <c r="L76" s="165">
        <f>#N/A</f>
        <v>-1038.3</v>
      </c>
      <c r="M76" s="207">
        <f>F76/K76</f>
        <v>0.0035699890597109462</v>
      </c>
      <c r="N76" s="162">
        <f>E76-травень!E76</f>
        <v>4500</v>
      </c>
      <c r="O76" s="166">
        <f>F76-травень!F76</f>
        <v>3.5900000000000003</v>
      </c>
      <c r="P76" s="165">
        <f>#N/A</f>
        <v>-4496.41</v>
      </c>
      <c r="Q76" s="165">
        <f>O76/N76*100</f>
        <v>0.0797777777777778</v>
      </c>
      <c r="R76" s="37">
        <v>0</v>
      </c>
      <c r="S76" s="37">
        <f>#N/A</f>
        <v>3.5900000000000003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1617.15</v>
      </c>
      <c r="G77" s="160">
        <f>#N/A</f>
        <v>-14012.85</v>
      </c>
      <c r="H77" s="162">
        <f>F77/E77*100</f>
        <v>10.346449136276393</v>
      </c>
      <c r="I77" s="165">
        <f>#N/A</f>
        <v>-52382.85</v>
      </c>
      <c r="J77" s="165">
        <f>F77/D77*100</f>
        <v>2.9947222222222223</v>
      </c>
      <c r="K77" s="165">
        <v>936.04</v>
      </c>
      <c r="L77" s="165">
        <f>#N/A</f>
        <v>681.1100000000001</v>
      </c>
      <c r="M77" s="207">
        <f>F77/K77</f>
        <v>1.7276505277552243</v>
      </c>
      <c r="N77" s="162">
        <f>E77-травень!E77</f>
        <v>3600</v>
      </c>
      <c r="O77" s="166">
        <f>F77-травень!F77</f>
        <v>1312.25</v>
      </c>
      <c r="P77" s="165">
        <f>#N/A</f>
        <v>-2287.75</v>
      </c>
      <c r="Q77" s="165">
        <f>O77/N77*100</f>
        <v>36.45138888888889</v>
      </c>
      <c r="R77" s="37">
        <v>200</v>
      </c>
      <c r="S77" s="37">
        <f>#N/A</f>
        <v>1112.25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6568.22</v>
      </c>
      <c r="G78" s="160">
        <f>#N/A</f>
        <v>-9631.779999999999</v>
      </c>
      <c r="H78" s="162">
        <f>F78/E78*100</f>
        <v>40.544567901234565</v>
      </c>
      <c r="I78" s="165">
        <f>#N/A</f>
        <v>-72431.78</v>
      </c>
      <c r="J78" s="165">
        <f>F78/D78*100</f>
        <v>8.31420253164557</v>
      </c>
      <c r="K78" s="165">
        <v>9374.51</v>
      </c>
      <c r="L78" s="165">
        <f>#N/A</f>
        <v>-2806.29</v>
      </c>
      <c r="M78" s="207">
        <f>F78/K78</f>
        <v>0.7006467538036655</v>
      </c>
      <c r="N78" s="162">
        <f>E78-травень!E78</f>
        <v>3850</v>
      </c>
      <c r="O78" s="166">
        <f>F78-травень!F78</f>
        <v>1982.8000000000002</v>
      </c>
      <c r="P78" s="165">
        <f>#N/A</f>
        <v>-1867.1999999999998</v>
      </c>
      <c r="Q78" s="165">
        <f>O78/N78*100</f>
        <v>51.5012987012987</v>
      </c>
      <c r="R78" s="37">
        <v>1500</v>
      </c>
      <c r="S78" s="37">
        <f>#N/A</f>
        <v>482.8000000000002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>#N/A</f>
        <v>1</v>
      </c>
      <c r="H79" s="162">
        <f>F79/E79*100</f>
        <v>116.66666666666667</v>
      </c>
      <c r="I79" s="165">
        <f>#N/A</f>
        <v>-5</v>
      </c>
      <c r="J79" s="165">
        <f>F79/D79*100</f>
        <v>58.333333333333336</v>
      </c>
      <c r="K79" s="165">
        <v>6</v>
      </c>
      <c r="L79" s="165">
        <f>#N/A</f>
        <v>1</v>
      </c>
      <c r="M79" s="207"/>
      <c r="N79" s="162">
        <f>E79-травень!E79</f>
        <v>1</v>
      </c>
      <c r="O79" s="166">
        <f>F79-травень!F79</f>
        <v>1</v>
      </c>
      <c r="P79" s="165">
        <f>#N/A</f>
        <v>0</v>
      </c>
      <c r="Q79" s="165">
        <f>O79/N79*100</f>
        <v>100</v>
      </c>
      <c r="R79" s="37">
        <v>1</v>
      </c>
      <c r="S79" s="37">
        <f>#N/A</f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8196.09</v>
      </c>
      <c r="G80" s="183">
        <f>#N/A</f>
        <v>-32639.91</v>
      </c>
      <c r="H80" s="184">
        <f>F80/E80*100</f>
        <v>20.070746400235087</v>
      </c>
      <c r="I80" s="185">
        <f>#N/A</f>
        <v>-229021.94</v>
      </c>
      <c r="J80" s="185">
        <f>F80/D80*100</f>
        <v>3.4550872882638815</v>
      </c>
      <c r="K80" s="185">
        <v>11358.57</v>
      </c>
      <c r="L80" s="185">
        <f>#N/A</f>
        <v>-3162.4799999999996</v>
      </c>
      <c r="M80" s="212">
        <f>F80/K80</f>
        <v>0.7215776281697432</v>
      </c>
      <c r="N80" s="183">
        <f>N76+N77+N78+N79</f>
        <v>11951</v>
      </c>
      <c r="O80" s="187">
        <f>O76+O77+O78+O79</f>
        <v>3299.6400000000003</v>
      </c>
      <c r="P80" s="185">
        <f>#N/A</f>
        <v>-8651.36</v>
      </c>
      <c r="Q80" s="185">
        <f>O80/N80*100</f>
        <v>27.609739770730485</v>
      </c>
      <c r="R80" s="38">
        <f>SUM(R76:R79)</f>
        <v>1701</v>
      </c>
      <c r="S80" s="38">
        <f>#N/A</f>
        <v>1598.6400000000003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>#N/A</f>
        <v>31.310000000000002</v>
      </c>
      <c r="H81" s="162"/>
      <c r="I81" s="165">
        <f>#N/A</f>
        <v>-4.689999999999998</v>
      </c>
      <c r="J81" s="165"/>
      <c r="K81" s="165">
        <v>5.19</v>
      </c>
      <c r="L81" s="165">
        <f>#N/A</f>
        <v>30.12</v>
      </c>
      <c r="M81" s="207">
        <f>F81/K81</f>
        <v>6.803468208092485</v>
      </c>
      <c r="N81" s="162">
        <f>E81-травень!E81</f>
        <v>0.5</v>
      </c>
      <c r="O81" s="166">
        <f>F81-травень!F81</f>
        <v>1.2100000000000009</v>
      </c>
      <c r="P81" s="165">
        <f>#N/A</f>
        <v>0.7100000000000009</v>
      </c>
      <c r="Q81" s="165"/>
      <c r="R81" s="37">
        <v>1</v>
      </c>
      <c r="S81" s="37">
        <f>#N/A</f>
        <v>0.21000000000000085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>#N/A</f>
        <v>0</v>
      </c>
      <c r="H82" s="162"/>
      <c r="I82" s="165">
        <f>#N/A</f>
        <v>0</v>
      </c>
      <c r="J82" s="188"/>
      <c r="K82" s="165">
        <v>0</v>
      </c>
      <c r="L82" s="165">
        <f>#N/A</f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>#N/A</f>
        <v>0</v>
      </c>
      <c r="Q82" s="188"/>
      <c r="R82" s="40"/>
      <c r="S82" s="37">
        <f>#N/A</f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5104.01</v>
      </c>
      <c r="G83" s="160">
        <f>#N/A</f>
        <v>597.0100000000002</v>
      </c>
      <c r="H83" s="162">
        <f>F83/E83*100</f>
        <v>113.24628355890837</v>
      </c>
      <c r="I83" s="165">
        <f>#N/A</f>
        <v>-3255.99</v>
      </c>
      <c r="J83" s="165">
        <f>F83/D83*100</f>
        <v>61.05275119617225</v>
      </c>
      <c r="K83" s="165">
        <v>4890.44</v>
      </c>
      <c r="L83" s="165">
        <f>#N/A</f>
        <v>213.57000000000062</v>
      </c>
      <c r="M83" s="207"/>
      <c r="N83" s="162">
        <f>E83-травень!E83</f>
        <v>0.5</v>
      </c>
      <c r="O83" s="166">
        <f>F83-травень!F83</f>
        <v>0.7899999999999636</v>
      </c>
      <c r="P83" s="165">
        <f>O83-N83</f>
        <v>0.2899999999999636</v>
      </c>
      <c r="Q83" s="188">
        <f>O83/N83*100</f>
        <v>157.99999999999272</v>
      </c>
      <c r="R83" s="40">
        <v>2850</v>
      </c>
      <c r="S83" s="285">
        <f>#N/A</f>
        <v>-2849.21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>#N/A</f>
        <v>0.05</v>
      </c>
      <c r="H84" s="162"/>
      <c r="I84" s="165">
        <f>#N/A</f>
        <v>0.05</v>
      </c>
      <c r="J84" s="165"/>
      <c r="K84" s="165">
        <v>0.81</v>
      </c>
      <c r="L84" s="165">
        <f>#N/A</f>
        <v>-0.76</v>
      </c>
      <c r="M84" s="207">
        <f>#N/A</f>
        <v>0.06172839506172839</v>
      </c>
      <c r="N84" s="162">
        <f>E84-травень!E84</f>
        <v>0</v>
      </c>
      <c r="O84" s="166">
        <f>F84-травень!F84</f>
        <v>0</v>
      </c>
      <c r="P84" s="165">
        <f>#N/A</f>
        <v>0</v>
      </c>
      <c r="Q84" s="165"/>
      <c r="R84" s="37">
        <v>0</v>
      </c>
      <c r="S84" s="37">
        <f>#N/A</f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5139.37</v>
      </c>
      <c r="G85" s="181">
        <f>G81+G84+G82+G83</f>
        <v>628.3700000000002</v>
      </c>
      <c r="H85" s="184">
        <f>F85/E85*100</f>
        <v>113.92972733318554</v>
      </c>
      <c r="I85" s="185">
        <f>#N/A</f>
        <v>-3260.63</v>
      </c>
      <c r="J85" s="185">
        <f>F85/D85*100</f>
        <v>61.18297619047619</v>
      </c>
      <c r="K85" s="185">
        <v>4896.43</v>
      </c>
      <c r="L85" s="185">
        <f>#N/A</f>
        <v>242.9399999999996</v>
      </c>
      <c r="M85" s="218">
        <f>#N/A</f>
        <v>1.049615740447632</v>
      </c>
      <c r="N85" s="183">
        <f>N81+N84+N82+N83</f>
        <v>1</v>
      </c>
      <c r="O85" s="187">
        <f>O81+O84+O82+O83</f>
        <v>1.9999999999999645</v>
      </c>
      <c r="P85" s="183">
        <f>P81+P84+P82+P83</f>
        <v>0.9999999999999645</v>
      </c>
      <c r="Q85" s="185">
        <f>O85/N85*100</f>
        <v>199.99999999999645</v>
      </c>
      <c r="R85" s="38">
        <f>SUM(R81:R84)</f>
        <v>2851</v>
      </c>
      <c r="S85" s="38">
        <f>#N/A</f>
        <v>-2849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>#N/A</f>
        <v>-15.56</v>
      </c>
      <c r="H86" s="162">
        <f>F86/E86*100</f>
        <v>33.21888412017167</v>
      </c>
      <c r="I86" s="165">
        <f>#N/A</f>
        <v>-30.259999999999998</v>
      </c>
      <c r="J86" s="165">
        <f>F86/D86*100</f>
        <v>20.36842105263158</v>
      </c>
      <c r="K86" s="165">
        <v>18.25</v>
      </c>
      <c r="L86" s="165">
        <f>#N/A</f>
        <v>-10.51</v>
      </c>
      <c r="M86" s="207">
        <f>#N/A</f>
        <v>0.4241095890410959</v>
      </c>
      <c r="N86" s="162">
        <f>E86-травень!E86</f>
        <v>8</v>
      </c>
      <c r="O86" s="166">
        <f>F86-травень!F86</f>
        <v>0</v>
      </c>
      <c r="P86" s="165">
        <f>#N/A</f>
        <v>-8</v>
      </c>
      <c r="Q86" s="165">
        <f>O86/N86</f>
        <v>0</v>
      </c>
      <c r="R86" s="37">
        <v>1.2</v>
      </c>
      <c r="S86" s="37">
        <f>#N/A</f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>#N/A</f>
        <v>0</v>
      </c>
      <c r="H87" s="162"/>
      <c r="I87" s="165">
        <f>#N/A</f>
        <v>0</v>
      </c>
      <c r="J87" s="165"/>
      <c r="K87" s="165">
        <v>0</v>
      </c>
      <c r="L87" s="165">
        <f>#N/A</f>
        <v>0</v>
      </c>
      <c r="M87" s="165"/>
      <c r="N87" s="162">
        <f>E87-квітень!E87</f>
        <v>0</v>
      </c>
      <c r="O87" s="166">
        <f>F87-квітень!F87</f>
        <v>0</v>
      </c>
      <c r="P87" s="165">
        <f>#N/A</f>
        <v>0</v>
      </c>
      <c r="Q87" s="165"/>
      <c r="R87" s="37">
        <v>0</v>
      </c>
      <c r="S87" s="37">
        <f>#N/A</f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13376.140000000001</v>
      </c>
      <c r="G88" s="190">
        <f>F88-E88</f>
        <v>-31994.160000000003</v>
      </c>
      <c r="H88" s="191">
        <f>F88/E88*100</f>
        <v>29.48215021721258</v>
      </c>
      <c r="I88" s="192">
        <f>F88-D88</f>
        <v>-232279.88999999998</v>
      </c>
      <c r="J88" s="192">
        <f>F88/D88*100</f>
        <v>5.445068863157969</v>
      </c>
      <c r="K88" s="192">
        <v>16270.96</v>
      </c>
      <c r="L88" s="192">
        <f>F88-K88</f>
        <v>-2894.819999999998</v>
      </c>
      <c r="M88" s="219">
        <f>#N/A</f>
        <v>0.8220867115400691</v>
      </c>
      <c r="N88" s="189">
        <f>N74+N75+N80+N85+N86</f>
        <v>11960</v>
      </c>
      <c r="O88" s="189">
        <f>O74+O75+O80+O85+O86</f>
        <v>3301.6400000000003</v>
      </c>
      <c r="P88" s="192">
        <f>#N/A</f>
        <v>-8658.36</v>
      </c>
      <c r="Q88" s="192">
        <f>O88/N88*100</f>
        <v>27.605685618729098</v>
      </c>
      <c r="R88" s="26">
        <f>R80+R85+R86+R87</f>
        <v>4553.2</v>
      </c>
      <c r="S88" s="26">
        <f>S80+S85+S86+S87</f>
        <v>-1251.5599999999997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656924.85</v>
      </c>
      <c r="G89" s="190">
        <f>F89-E89</f>
        <v>-27244.75</v>
      </c>
      <c r="H89" s="191">
        <f>F89/E89*100</f>
        <v>96.01783680537692</v>
      </c>
      <c r="I89" s="192">
        <f>F89-D89</f>
        <v>-946222.2800000001</v>
      </c>
      <c r="J89" s="192">
        <f>F89/D89*100</f>
        <v>40.97720275992385</v>
      </c>
      <c r="K89" s="192">
        <f>K67+K88</f>
        <v>511056.95</v>
      </c>
      <c r="L89" s="192">
        <f>F89-K89</f>
        <v>145867.89999999997</v>
      </c>
      <c r="M89" s="219">
        <f>#N/A</f>
        <v>1.2854239630240816</v>
      </c>
      <c r="N89" s="190">
        <f>N67+N88</f>
        <v>121252</v>
      </c>
      <c r="O89" s="190">
        <f>O67+O88</f>
        <v>114382.17999999998</v>
      </c>
      <c r="P89" s="192">
        <f>#N/A</f>
        <v>-6869.8200000000215</v>
      </c>
      <c r="Q89" s="192">
        <f>O89/N89*100</f>
        <v>94.33426252762838</v>
      </c>
      <c r="R89" s="26">
        <f>R67+R88</f>
        <v>112668.9</v>
      </c>
      <c r="S89" s="26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5">
        <v>0</v>
      </c>
      <c r="D91" s="4" t="s">
        <v>35</v>
      </c>
      <c r="O91" s="77"/>
      <c r="S91" s="28"/>
    </row>
    <row r="92" spans="2:19" ht="30.75" hidden="1">
      <c r="B92" s="51" t="s">
        <v>53</v>
      </c>
      <c r="C92" s="28">
        <f>IF(P67&lt;0,ABS(P67/C91),0)</f>
        <v>0</v>
      </c>
      <c r="D92" s="4" t="s">
        <v>24</v>
      </c>
      <c r="G92" s="325"/>
      <c r="H92" s="325"/>
      <c r="I92" s="325"/>
      <c r="J92" s="325"/>
      <c r="K92" s="83"/>
      <c r="L92" s="83"/>
      <c r="M92" s="83"/>
      <c r="Q92" s="25"/>
      <c r="R92" s="25"/>
      <c r="S92" s="25"/>
    </row>
    <row r="93" spans="2:16" ht="34.5" customHeight="1" hidden="1">
      <c r="B93" s="52" t="s">
        <v>55</v>
      </c>
      <c r="C93" s="80">
        <v>42916</v>
      </c>
      <c r="D93" s="28">
        <v>14988.4</v>
      </c>
      <c r="G93" s="4" t="s">
        <v>58</v>
      </c>
      <c r="O93" s="313"/>
      <c r="P93" s="313"/>
    </row>
    <row r="94" spans="3:16" ht="15" hidden="1">
      <c r="C94" s="80">
        <v>42913</v>
      </c>
      <c r="D94" s="28">
        <v>9872.9</v>
      </c>
      <c r="G94" s="309"/>
      <c r="H94" s="309"/>
      <c r="I94" s="117"/>
      <c r="J94" s="346"/>
      <c r="K94" s="346"/>
      <c r="L94" s="346"/>
      <c r="M94" s="346"/>
      <c r="N94" s="346"/>
      <c r="O94" s="313"/>
      <c r="P94" s="313"/>
    </row>
    <row r="95" spans="3:16" ht="15.75" customHeight="1" hidden="1">
      <c r="C95" s="80">
        <v>42912</v>
      </c>
      <c r="D95" s="28">
        <v>4876.1</v>
      </c>
      <c r="F95" s="67"/>
      <c r="G95" s="309"/>
      <c r="H95" s="309"/>
      <c r="I95" s="117"/>
      <c r="J95" s="347"/>
      <c r="K95" s="347"/>
      <c r="L95" s="347"/>
      <c r="M95" s="347"/>
      <c r="N95" s="347"/>
      <c r="O95" s="313"/>
      <c r="P95" s="313"/>
    </row>
    <row r="96" spans="3:14" ht="15.75" customHeight="1" hidden="1">
      <c r="C96" s="80"/>
      <c r="F96" s="67"/>
      <c r="G96" s="314"/>
      <c r="H96" s="314"/>
      <c r="I96" s="123"/>
      <c r="J96" s="346"/>
      <c r="K96" s="346"/>
      <c r="L96" s="346"/>
      <c r="M96" s="346"/>
      <c r="N96" s="346"/>
    </row>
    <row r="97" spans="2:14" ht="18" customHeight="1" hidden="1">
      <c r="B97" s="315" t="s">
        <v>56</v>
      </c>
      <c r="C97" s="316"/>
      <c r="D97" s="132">
        <v>225.52589</v>
      </c>
      <c r="E97" s="68"/>
      <c r="F97" s="124" t="s">
        <v>105</v>
      </c>
      <c r="G97" s="309"/>
      <c r="H97" s="309"/>
      <c r="I97" s="125"/>
      <c r="J97" s="346"/>
      <c r="K97" s="346"/>
      <c r="L97" s="346"/>
      <c r="M97" s="346"/>
      <c r="N97" s="346"/>
    </row>
    <row r="98" spans="6:13" ht="9.75" customHeight="1" hidden="1">
      <c r="F98" s="67"/>
      <c r="G98" s="309"/>
      <c r="H98" s="309"/>
      <c r="I98" s="67"/>
      <c r="J98" s="68"/>
      <c r="K98" s="68"/>
      <c r="L98" s="68"/>
      <c r="M98" s="68"/>
    </row>
    <row r="99" spans="2:13" ht="22.5" customHeight="1" hidden="1">
      <c r="B99" s="310" t="s">
        <v>59</v>
      </c>
      <c r="C99" s="311"/>
      <c r="D99" s="79">
        <v>0</v>
      </c>
      <c r="E99" s="50" t="s">
        <v>24</v>
      </c>
      <c r="F99" s="67"/>
      <c r="G99" s="309"/>
      <c r="H99" s="30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910.45</v>
      </c>
      <c r="G100" s="67">
        <f>G48+G51+G52</f>
        <v>289.44999999999993</v>
      </c>
      <c r="H100" s="68"/>
      <c r="I100" s="68"/>
      <c r="N100" s="28">
        <f>N48+N51+N52</f>
        <v>89</v>
      </c>
      <c r="O100" s="200">
        <f>O48+O51+O52</f>
        <v>176.64999999999998</v>
      </c>
      <c r="P100" s="28">
        <f>P48+P51+P52</f>
        <v>87.64999999999998</v>
      </c>
    </row>
    <row r="101" spans="4:16" ht="15" hidden="1">
      <c r="D101" s="77"/>
      <c r="I101" s="28"/>
      <c r="O101" s="312"/>
      <c r="P101" s="312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611703.8500000001</v>
      </c>
      <c r="G102" s="28">
        <f>F102-E102</f>
        <v>2558.1500000001397</v>
      </c>
      <c r="H102" s="228">
        <f>F102/E102</f>
        <v>1.0041995699879358</v>
      </c>
      <c r="I102" s="28">
        <f>F102-D102</f>
        <v>-687344.75</v>
      </c>
      <c r="J102" s="228">
        <f>F102/D102</f>
        <v>0.47088603921362143</v>
      </c>
      <c r="N102" s="28">
        <f>N9+N15+N17+N18+N19+N23+N42+N45+N65+N59</f>
        <v>104173.2</v>
      </c>
      <c r="O102" s="227">
        <f>O9+O15+O17+O18+O19+O23+O42+O45+O65+O59</f>
        <v>104377.18999999999</v>
      </c>
      <c r="P102" s="28">
        <f>O102-N102</f>
        <v>203.9899999999907</v>
      </c>
      <c r="Q102" s="228">
        <f>O102/N102</f>
        <v>1.0019581811828762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31843.679999999993</v>
      </c>
      <c r="G103" s="28">
        <f>G43+G44+G46+G48+G50+G51+G52+G53+G54+G60+G64+G47</f>
        <v>2195.329999999998</v>
      </c>
      <c r="H103" s="228">
        <f>F103/E103</f>
        <v>1.0738554509401892</v>
      </c>
      <c r="I103" s="28">
        <f>I43+I44+I46+I48+I50+I51+I52+I53+I54+I60+I64+I47</f>
        <v>-26593.570000000003</v>
      </c>
      <c r="J103" s="228">
        <f>F103/D103</f>
        <v>0.544871968173846</v>
      </c>
      <c r="K103" s="28">
        <f>#N/A</f>
        <v>29017.919999999995</v>
      </c>
      <c r="L103" s="28">
        <f>#N/A</f>
        <v>2831.0099999999984</v>
      </c>
      <c r="M103" s="28">
        <f>#N/A</f>
        <v>18.594603669297914</v>
      </c>
      <c r="N103" s="28">
        <f>N43+N44+N46+N48+N50+N51+N52+N53+N54+N60+N64+N47+N66</f>
        <v>5118.8</v>
      </c>
      <c r="O103" s="227">
        <f>O43+O44+O46+O48+O50+O51+O52+O53+O54+O60+O64+O47+O66</f>
        <v>6703.009999999997</v>
      </c>
      <c r="P103" s="28">
        <f>#N/A</f>
        <v>1584.2099999999984</v>
      </c>
      <c r="Q103" s="228">
        <f>O103/N103</f>
        <v>1.3094885520043753</v>
      </c>
    </row>
    <row r="104" spans="2:17" ht="15" hidden="1">
      <c r="B104" s="4" t="s">
        <v>118</v>
      </c>
      <c r="D104" s="28">
        <f>SUM(D102:D103)</f>
        <v>1357491.1</v>
      </c>
      <c r="E104" s="28">
        <f>#N/A</f>
        <v>638799.2999999999</v>
      </c>
      <c r="F104" s="227">
        <f>#N/A</f>
        <v>643547.53</v>
      </c>
      <c r="G104" s="28">
        <f>#N/A</f>
        <v>4753.480000000138</v>
      </c>
      <c r="H104" s="228">
        <f>F104/E104</f>
        <v>1.0074330544820573</v>
      </c>
      <c r="I104" s="28">
        <f>#N/A</f>
        <v>-713938.32</v>
      </c>
      <c r="J104" s="228">
        <f>F104/D104</f>
        <v>0.4740712701541837</v>
      </c>
      <c r="K104" s="28">
        <f>#N/A</f>
        <v>29017.919999999995</v>
      </c>
      <c r="L104" s="28">
        <f>#N/A</f>
        <v>2831.0099999999984</v>
      </c>
      <c r="M104" s="28">
        <f>#N/A</f>
        <v>18.594603669297914</v>
      </c>
      <c r="N104" s="28">
        <f>#N/A</f>
        <v>109292</v>
      </c>
      <c r="O104" s="227">
        <f>#N/A</f>
        <v>111080.19999999998</v>
      </c>
      <c r="P104" s="28">
        <f>#N/A</f>
        <v>1788.1999999999891</v>
      </c>
      <c r="Q104" s="228">
        <f>O104/N104</f>
        <v>1.0163616733155216</v>
      </c>
    </row>
    <row r="105" spans="4:19" ht="15" hidden="1">
      <c r="D105" s="28">
        <f>D67-D104</f>
        <v>0</v>
      </c>
      <c r="E105" s="28">
        <f>#N/A</f>
        <v>0</v>
      </c>
      <c r="F105" s="28">
        <f>#N/A</f>
        <v>1.1799999999348074</v>
      </c>
      <c r="G105" s="28">
        <f>#N/A</f>
        <v>-4.07000000010521</v>
      </c>
      <c r="H105" s="228"/>
      <c r="I105" s="28">
        <f>#N/A</f>
        <v>-4.070000000181608</v>
      </c>
      <c r="J105" s="228"/>
      <c r="K105" s="28">
        <f>#N/A</f>
        <v>465768.07</v>
      </c>
      <c r="L105" s="28">
        <f>#N/A</f>
        <v>145931.70999999996</v>
      </c>
      <c r="M105" s="28">
        <f>#N/A</f>
        <v>-17.29394293312792</v>
      </c>
      <c r="N105" s="28">
        <f>#N/A</f>
        <v>0</v>
      </c>
      <c r="O105" s="28">
        <f>#N/A</f>
        <v>0.33999999999650754</v>
      </c>
      <c r="P105" s="28">
        <f>#N/A</f>
        <v>0.3399999999899137</v>
      </c>
      <c r="Q105" s="28"/>
      <c r="R105" s="28">
        <f>#N/A</f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33630.46</v>
      </c>
      <c r="G111" s="190">
        <f>F111-E111</f>
        <v>-29841.9</v>
      </c>
      <c r="H111" s="191">
        <f>F111/E111*100</f>
        <v>52.98441715417545</v>
      </c>
      <c r="I111" s="192">
        <f>F111-D111</f>
        <v>-284433.79</v>
      </c>
      <c r="J111" s="192">
        <f>F111/D111*100</f>
        <v>10.573480043733301</v>
      </c>
      <c r="K111" s="192">
        <v>3039.87</v>
      </c>
      <c r="L111" s="192">
        <f>F111-K111</f>
        <v>30590.59</v>
      </c>
      <c r="M111" s="266">
        <f>F111/K111</f>
        <v>11.063124409925425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677179.1699999999</v>
      </c>
      <c r="G112" s="190">
        <f>F112-E112</f>
        <v>-25092.48999999999</v>
      </c>
      <c r="H112" s="191">
        <f>F112/E112*100</f>
        <v>96.42695392264584</v>
      </c>
      <c r="I112" s="192">
        <f>F112-D112</f>
        <v>-998376.1800000002</v>
      </c>
      <c r="J112" s="192">
        <f>F112/D112*100</f>
        <v>40.41520741167995</v>
      </c>
      <c r="K112" s="192">
        <f>K89+K111</f>
        <v>514096.82</v>
      </c>
      <c r="L112" s="192">
        <f>F112-K112</f>
        <v>163082.34999999992</v>
      </c>
      <c r="M112" s="266">
        <f>F112/K112</f>
        <v>1.3172210829858857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>#N/A</f>
        <v>1222868.6900000002</v>
      </c>
      <c r="E113" s="241">
        <f>#N/A</f>
        <v>550655.6</v>
      </c>
      <c r="F113" s="241">
        <f>#N/A</f>
        <v>545829.08</v>
      </c>
      <c r="G113" s="241">
        <f>#N/A</f>
        <v>-4826.520000000019</v>
      </c>
      <c r="H113" s="241">
        <f>F113/E113*100</f>
        <v>99.12349570221387</v>
      </c>
      <c r="I113" s="35">
        <f>#N/A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>#N/A</f>
        <v>1222868.6900000002</v>
      </c>
      <c r="E114" s="241">
        <f>#N/A</f>
        <v>550655.6</v>
      </c>
      <c r="F114" s="241">
        <f>#N/A</f>
        <v>545829.08</v>
      </c>
      <c r="G114" s="241">
        <f>#N/A</f>
        <v>-4826.520000000019</v>
      </c>
      <c r="H114" s="241">
        <f>#N/A</f>
        <v>99.12349570221387</v>
      </c>
      <c r="I114" s="35">
        <f>#N/A</f>
        <v>-677039.6100000002</v>
      </c>
      <c r="J114" s="35">
        <f>#N/A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>#N/A</f>
        <v>-4826.520000000019</v>
      </c>
      <c r="H115" s="241">
        <f>#N/A</f>
        <v>99.12349570221387</v>
      </c>
      <c r="I115" s="35">
        <f>#N/A</f>
        <v>-677039.6100000002</v>
      </c>
      <c r="J115" s="35">
        <f>#N/A</f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>#N/A</f>
        <v>-3734.029999999999</v>
      </c>
      <c r="H116" s="241">
        <f>#N/A</f>
        <v>95.0108160470321</v>
      </c>
      <c r="I116" s="35">
        <f>#N/A</f>
        <v>-240704.93000000002</v>
      </c>
      <c r="J116" s="35">
        <f>#N/A</f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>#N/A</f>
        <v>-707.6699999999837</v>
      </c>
      <c r="H117" s="241">
        <f>#N/A</f>
        <v>99.80061079304002</v>
      </c>
      <c r="I117" s="35">
        <f>#N/A</f>
        <v>-54436.96000000002</v>
      </c>
      <c r="J117" s="35">
        <f>#N/A</f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>#N/A</f>
        <v>-16.159999999999997</v>
      </c>
      <c r="H118" s="241">
        <f>#N/A</f>
        <v>71.64912280701755</v>
      </c>
      <c r="I118" s="35">
        <f>#N/A</f>
        <v>-186.85999999999999</v>
      </c>
      <c r="J118" s="35">
        <f>#N/A</f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>#N/A</f>
        <v>0</v>
      </c>
      <c r="H119" s="241">
        <f>#N/A</f>
        <v>100</v>
      </c>
      <c r="I119" s="35">
        <f>#N/A</f>
        <v>-187142.9</v>
      </c>
      <c r="J119" s="35">
        <f>#N/A</f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>#N/A</f>
        <v>0</v>
      </c>
      <c r="H120" s="241">
        <f>#N/A</f>
        <v>100</v>
      </c>
      <c r="I120" s="35">
        <f>#N/A</f>
        <v>-178707.6</v>
      </c>
      <c r="J120" s="35">
        <f>#N/A</f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>#N/A</f>
        <v>-460.1399999999999</v>
      </c>
      <c r="H121" s="241">
        <f>#N/A</f>
        <v>89.02806292160552</v>
      </c>
      <c r="I121" s="35">
        <f>#N/A</f>
        <v>-12505.44</v>
      </c>
      <c r="J121" s="35">
        <f>#N/A</f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>#N/A</f>
        <v>165.7</v>
      </c>
      <c r="H122" s="241">
        <f>#N/A</f>
        <v>0</v>
      </c>
      <c r="I122" s="35">
        <f>#N/A</f>
        <v>165.7</v>
      </c>
      <c r="J122" s="35" t="e">
        <f>#N/A</f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>#N/A</f>
        <v>-74.22000000000003</v>
      </c>
      <c r="H123" s="241">
        <f>#N/A</f>
        <v>91.84305967688756</v>
      </c>
      <c r="I123" s="35">
        <f>#N/A</f>
        <v>-3520.6200000000003</v>
      </c>
      <c r="J123" s="35">
        <f>#N/A</f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1223008.25</v>
      </c>
      <c r="G124" s="275">
        <f>#N/A</f>
        <v>-29919.009999999776</v>
      </c>
      <c r="H124" s="274">
        <f>#N/A</f>
        <v>97.61207127060196</v>
      </c>
      <c r="I124" s="276">
        <f>#N/A</f>
        <v>-1675415.79</v>
      </c>
      <c r="J124" s="276">
        <f>#N/A</f>
        <v>42.19562883559301</v>
      </c>
      <c r="Q124" s="240"/>
    </row>
    <row r="125" ht="15" hidden="1"/>
    <row r="126" ht="15" hidden="1"/>
    <row r="127" ht="15" hidden="1"/>
    <row r="128" spans="4:6" ht="15">
      <c r="D128" s="28"/>
      <c r="E128" s="28"/>
      <c r="F128" s="28"/>
    </row>
    <row r="130" spans="4:5" ht="15">
      <c r="D130" s="28"/>
      <c r="E130" s="28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32" t="s">
        <v>194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85"/>
      <c r="S1" s="85"/>
      <c r="T1" s="85"/>
      <c r="U1" s="86"/>
    </row>
    <row r="2" spans="2:21" s="1" customFormat="1" ht="15.75" customHeight="1">
      <c r="B2" s="333"/>
      <c r="C2" s="333"/>
      <c r="D2" s="33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34"/>
      <c r="B3" s="336"/>
      <c r="C3" s="337" t="s">
        <v>0</v>
      </c>
      <c r="D3" s="338" t="s">
        <v>137</v>
      </c>
      <c r="E3" s="31"/>
      <c r="F3" s="339" t="s">
        <v>26</v>
      </c>
      <c r="G3" s="340"/>
      <c r="H3" s="340"/>
      <c r="I3" s="340"/>
      <c r="J3" s="341"/>
      <c r="K3" s="82"/>
      <c r="L3" s="82"/>
      <c r="M3" s="82"/>
      <c r="N3" s="342" t="s">
        <v>188</v>
      </c>
      <c r="O3" s="343" t="s">
        <v>189</v>
      </c>
      <c r="P3" s="343"/>
      <c r="Q3" s="343"/>
      <c r="R3" s="343"/>
      <c r="S3" s="343"/>
      <c r="T3" s="343"/>
      <c r="U3" s="343"/>
    </row>
    <row r="4" spans="1:21" ht="22.5" customHeight="1">
      <c r="A4" s="334"/>
      <c r="B4" s="336"/>
      <c r="C4" s="337"/>
      <c r="D4" s="338"/>
      <c r="E4" s="344" t="s">
        <v>185</v>
      </c>
      <c r="F4" s="326" t="s">
        <v>33</v>
      </c>
      <c r="G4" s="317" t="s">
        <v>186</v>
      </c>
      <c r="H4" s="328" t="s">
        <v>187</v>
      </c>
      <c r="I4" s="317" t="s">
        <v>125</v>
      </c>
      <c r="J4" s="328" t="s">
        <v>126</v>
      </c>
      <c r="K4" s="84" t="s">
        <v>128</v>
      </c>
      <c r="L4" s="202" t="s">
        <v>111</v>
      </c>
      <c r="M4" s="89" t="s">
        <v>63</v>
      </c>
      <c r="N4" s="328"/>
      <c r="O4" s="330" t="s">
        <v>195</v>
      </c>
      <c r="P4" s="317" t="s">
        <v>49</v>
      </c>
      <c r="Q4" s="31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35"/>
      <c r="B5" s="336"/>
      <c r="C5" s="337"/>
      <c r="D5" s="338"/>
      <c r="E5" s="345"/>
      <c r="F5" s="327"/>
      <c r="G5" s="318"/>
      <c r="H5" s="329"/>
      <c r="I5" s="318"/>
      <c r="J5" s="329"/>
      <c r="K5" s="320" t="s">
        <v>191</v>
      </c>
      <c r="L5" s="321"/>
      <c r="M5" s="322"/>
      <c r="N5" s="329"/>
      <c r="O5" s="331"/>
      <c r="P5" s="318"/>
      <c r="Q5" s="319"/>
      <c r="R5" s="323" t="s">
        <v>190</v>
      </c>
      <c r="S5" s="324"/>
      <c r="T5" s="348" t="s">
        <v>181</v>
      </c>
      <c r="U5" s="348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>#N/A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>#N/A</f>
        <v>130101.00000000006</v>
      </c>
      <c r="M8" s="203">
        <f>#N/A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>#N/A</f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>#N/A</f>
        <v>82530.66</v>
      </c>
      <c r="M9" s="204">
        <f>#N/A</f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>#N/A</f>
        <v>4419.179999999993</v>
      </c>
      <c r="H10" s="29">
        <f>#N/A</f>
        <v>101.74560752093538</v>
      </c>
      <c r="I10" s="103">
        <f>#N/A</f>
        <v>-443737.82</v>
      </c>
      <c r="J10" s="103">
        <f>#N/A</f>
        <v>36.72792474729687</v>
      </c>
      <c r="K10" s="105">
        <v>174168.33</v>
      </c>
      <c r="L10" s="105">
        <f>#N/A</f>
        <v>83410.85</v>
      </c>
      <c r="M10" s="205">
        <f>#N/A</f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>#N/A</f>
        <v>189.32000000000698</v>
      </c>
      <c r="Q10" s="103">
        <f>#N/A</f>
        <v>100.35704586602294</v>
      </c>
      <c r="R10" s="36"/>
      <c r="S10" s="99">
        <f>#N/A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>#N/A</f>
        <v>-2540.1000000000004</v>
      </c>
      <c r="H11" s="29">
        <f>#N/A</f>
        <v>86.16503267973856</v>
      </c>
      <c r="I11" s="103">
        <f>#N/A</f>
        <v>-30686.1</v>
      </c>
      <c r="J11" s="103">
        <f>#N/A</f>
        <v>34.01690104502645</v>
      </c>
      <c r="K11" s="105">
        <v>14679.25</v>
      </c>
      <c r="L11" s="105">
        <f>#N/A</f>
        <v>1140.6499999999996</v>
      </c>
      <c r="M11" s="205">
        <f>#N/A</f>
        <v>1.0777049236166698</v>
      </c>
      <c r="N11" s="104">
        <f>E11-квітень!E11</f>
        <v>3660</v>
      </c>
      <c r="O11" s="142">
        <f>F11-квітень!F11</f>
        <v>3390.75</v>
      </c>
      <c r="P11" s="105">
        <f>#N/A</f>
        <v>-269.25</v>
      </c>
      <c r="Q11" s="103">
        <f>#N/A</f>
        <v>92.64344262295083</v>
      </c>
      <c r="R11" s="36"/>
      <c r="S11" s="99">
        <f>#N/A</f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>#N/A</f>
        <v>802.2600000000002</v>
      </c>
      <c r="H12" s="29">
        <f>#N/A</f>
        <v>127.28775510204082</v>
      </c>
      <c r="I12" s="103">
        <f>#N/A</f>
        <v>-4537.74</v>
      </c>
      <c r="J12" s="103">
        <f>#N/A</f>
        <v>45.196376811594206</v>
      </c>
      <c r="K12" s="105">
        <v>4583.23</v>
      </c>
      <c r="L12" s="105">
        <f>#N/A</f>
        <v>-840.9699999999993</v>
      </c>
      <c r="M12" s="205">
        <f>#N/A</f>
        <v>0.8165114995319895</v>
      </c>
      <c r="N12" s="104">
        <f>E12-квітень!E12</f>
        <v>600</v>
      </c>
      <c r="O12" s="142">
        <f>F12-квітень!F12</f>
        <v>1132.67</v>
      </c>
      <c r="P12" s="105">
        <f>#N/A</f>
        <v>532.6700000000001</v>
      </c>
      <c r="Q12" s="103">
        <f>#N/A</f>
        <v>188.77833333333334</v>
      </c>
      <c r="R12" s="36"/>
      <c r="S12" s="99">
        <f>#N/A</f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>#N/A</f>
        <v>-17.409999999999854</v>
      </c>
      <c r="H13" s="29">
        <f>#N/A</f>
        <v>99.55358974358974</v>
      </c>
      <c r="I13" s="103">
        <f>#N/A</f>
        <v>-5507.41</v>
      </c>
      <c r="J13" s="103">
        <f>#N/A</f>
        <v>41.34813631522897</v>
      </c>
      <c r="K13" s="105">
        <v>3763.44</v>
      </c>
      <c r="L13" s="105">
        <f>#N/A</f>
        <v>119.15000000000009</v>
      </c>
      <c r="M13" s="205">
        <f>#N/A</f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>#N/A</f>
        <v>73.26000000000022</v>
      </c>
      <c r="Q13" s="103">
        <f>#N/A</f>
        <v>112.21000000000004</v>
      </c>
      <c r="R13" s="36"/>
      <c r="S13" s="99">
        <f>#N/A</f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>#N/A</f>
        <v>127.64999999999998</v>
      </c>
      <c r="H14" s="29">
        <f>#N/A</f>
        <v>126.59375</v>
      </c>
      <c r="I14" s="103">
        <f>#N/A</f>
        <v>-544.35</v>
      </c>
      <c r="J14" s="103">
        <f>#N/A</f>
        <v>52.747395833333336</v>
      </c>
      <c r="K14" s="105">
        <v>1906.68</v>
      </c>
      <c r="L14" s="105">
        <f>#N/A</f>
        <v>-1299.0300000000002</v>
      </c>
      <c r="M14" s="205">
        <f>#N/A</f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>#N/A</f>
        <v>29.47999999999996</v>
      </c>
      <c r="Q14" s="103">
        <f>#N/A</f>
        <v>130.7083333333333</v>
      </c>
      <c r="R14" s="36"/>
      <c r="S14" s="99">
        <f>#N/A</f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>#N/A</f>
        <v>-296.44</v>
      </c>
      <c r="H15" s="155">
        <f>F15/E15*100</f>
        <v>13.067448680351907</v>
      </c>
      <c r="I15" s="156">
        <f>#N/A</f>
        <v>-506.44</v>
      </c>
      <c r="J15" s="156">
        <f>F15/D15*100</f>
        <v>8.087114337568059</v>
      </c>
      <c r="K15" s="159">
        <v>309.24</v>
      </c>
      <c r="L15" s="159">
        <f>#N/A</f>
        <v>-264.68</v>
      </c>
      <c r="M15" s="206">
        <f>#N/A</f>
        <v>0.14409520113827448</v>
      </c>
      <c r="N15" s="162">
        <f>E15-квітень!E15</f>
        <v>170</v>
      </c>
      <c r="O15" s="166">
        <f>F15-квітень!F15</f>
        <v>360.92</v>
      </c>
      <c r="P15" s="159">
        <f>#N/A</f>
        <v>190.92000000000002</v>
      </c>
      <c r="Q15" s="156"/>
      <c r="R15" s="289">
        <v>150</v>
      </c>
      <c r="S15" s="288">
        <f>#N/A</f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>#N/A</f>
        <v>0</v>
      </c>
      <c r="H16" s="155" t="e">
        <f>F16/E16/100</f>
        <v>#DIV/0!</v>
      </c>
      <c r="I16" s="36">
        <f>#N/A</f>
        <v>0</v>
      </c>
      <c r="J16" s="36" t="e">
        <f>#N/A</f>
        <v>#DIV/0!</v>
      </c>
      <c r="K16" s="105">
        <v>381.9</v>
      </c>
      <c r="L16" s="159">
        <f>#N/A</f>
        <v>-381.9</v>
      </c>
      <c r="M16" s="206">
        <f>#N/A</f>
        <v>0</v>
      </c>
      <c r="N16" s="162">
        <f>E16-квітень!E16</f>
        <v>0</v>
      </c>
      <c r="O16" s="166">
        <f>F16-квітень!F16</f>
        <v>0</v>
      </c>
      <c r="P16" s="35">
        <f>#N/A</f>
        <v>0</v>
      </c>
      <c r="Q16" s="156" t="e">
        <f>#N/A</f>
        <v>#DIV/0!</v>
      </c>
      <c r="R16" s="103">
        <f>O16-358.81</f>
        <v>-358.81</v>
      </c>
      <c r="S16" s="99">
        <f>#N/A</f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>#N/A</f>
        <v>0.49</v>
      </c>
      <c r="H17" s="155"/>
      <c r="I17" s="163">
        <f>#N/A</f>
        <v>0.49</v>
      </c>
      <c r="J17" s="163"/>
      <c r="K17" s="165">
        <v>0.14</v>
      </c>
      <c r="L17" s="159">
        <f>#N/A</f>
        <v>0.35</v>
      </c>
      <c r="M17" s="206">
        <f>#N/A</f>
        <v>3.4999999999999996</v>
      </c>
      <c r="N17" s="162">
        <f>E17-квітень!E17</f>
        <v>0</v>
      </c>
      <c r="O17" s="166">
        <f>F17-квітень!F17</f>
        <v>0.49</v>
      </c>
      <c r="P17" s="165">
        <f>#N/A</f>
        <v>0.49</v>
      </c>
      <c r="Q17" s="156"/>
      <c r="R17" s="103"/>
      <c r="S17" s="99">
        <f>#N/A</f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>#N/A</f>
        <v>48.459999999999994</v>
      </c>
      <c r="H18" s="155">
        <f>F18/E18*100</f>
        <v>169.22857142857143</v>
      </c>
      <c r="I18" s="156">
        <f>#N/A</f>
        <v>-6.540000000000006</v>
      </c>
      <c r="J18" s="156">
        <f>#N/A</f>
        <v>94.768</v>
      </c>
      <c r="K18" s="159">
        <v>105.8</v>
      </c>
      <c r="L18" s="159">
        <f>#N/A</f>
        <v>12.659999999999997</v>
      </c>
      <c r="M18" s="206">
        <f>#N/A</f>
        <v>1.1196597353497164</v>
      </c>
      <c r="N18" s="162">
        <f>E18-квітень!E18</f>
        <v>0</v>
      </c>
      <c r="O18" s="166">
        <f>F18-квітень!F18</f>
        <v>0</v>
      </c>
      <c r="P18" s="159">
        <f>#N/A</f>
        <v>0</v>
      </c>
      <c r="Q18" s="156"/>
      <c r="R18" s="36">
        <v>0</v>
      </c>
      <c r="S18" s="99">
        <f>#N/A</f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>#N/A</f>
        <v>-3404.9100000000035</v>
      </c>
      <c r="H19" s="162">
        <f>#N/A</f>
        <v>92.96506198347106</v>
      </c>
      <c r="I19" s="163">
        <f>#N/A</f>
        <v>-85004.91</v>
      </c>
      <c r="J19" s="163">
        <f>#N/A</f>
        <v>34.611607692307686</v>
      </c>
      <c r="K19" s="159">
        <v>35230.56</v>
      </c>
      <c r="L19" s="165">
        <f>#N/A</f>
        <v>9764.529999999999</v>
      </c>
      <c r="M19" s="211">
        <f>#N/A</f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>#N/A</f>
        <v>-1609.6740000000063</v>
      </c>
      <c r="Q19" s="163">
        <f>#N/A</f>
        <v>84.66977142857137</v>
      </c>
      <c r="R19" s="289">
        <v>9450</v>
      </c>
      <c r="S19" s="288">
        <f>#N/A</f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>#N/A</f>
        <v>-3521.5099999999984</v>
      </c>
      <c r="H20" s="193">
        <f>#N/A</f>
        <v>88.12306913996628</v>
      </c>
      <c r="I20" s="251">
        <f>#N/A</f>
        <v>-50371.509999999995</v>
      </c>
      <c r="J20" s="251">
        <f>#N/A</f>
        <v>34.15488888888889</v>
      </c>
      <c r="K20" s="252">
        <v>35230.56</v>
      </c>
      <c r="L20" s="164">
        <f>#N/A</f>
        <v>-9102.069999999996</v>
      </c>
      <c r="M20" s="253">
        <f>#N/A</f>
        <v>0.7416427669614108</v>
      </c>
      <c r="N20" s="193">
        <f>E20-квітень!E20</f>
        <v>5750</v>
      </c>
      <c r="O20" s="177">
        <f>F20-квітень!F20</f>
        <v>4148.91</v>
      </c>
      <c r="P20" s="164">
        <f>#N/A</f>
        <v>-1601.0900000000001</v>
      </c>
      <c r="Q20" s="251">
        <f>#N/A</f>
        <v>72.15495652173914</v>
      </c>
      <c r="R20" s="106">
        <v>4450</v>
      </c>
      <c r="S20" s="99">
        <f>#N/A</f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>#N/A</f>
        <v>143.69000000000005</v>
      </c>
      <c r="H21" s="193"/>
      <c r="I21" s="251">
        <f>#N/A</f>
        <v>-6606.3099999999995</v>
      </c>
      <c r="J21" s="251">
        <f>#N/A</f>
        <v>38.258785046728974</v>
      </c>
      <c r="K21" s="252">
        <v>0</v>
      </c>
      <c r="L21" s="164">
        <f>#N/A</f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>#N/A</f>
        <v>24.75</v>
      </c>
      <c r="Q21" s="251"/>
      <c r="R21" s="106">
        <v>1000</v>
      </c>
      <c r="S21" s="99">
        <f>#N/A</f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>#N/A</f>
        <v>-27.079999999999927</v>
      </c>
      <c r="H22" s="193"/>
      <c r="I22" s="251">
        <f>#N/A</f>
        <v>-28027.08</v>
      </c>
      <c r="J22" s="251">
        <f>#N/A</f>
        <v>34.516168224299065</v>
      </c>
      <c r="K22" s="252">
        <v>0</v>
      </c>
      <c r="L22" s="164">
        <f>#N/A</f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>#N/A</f>
        <v>-33.31999999999971</v>
      </c>
      <c r="Q22" s="251"/>
      <c r="R22" s="106">
        <v>4000</v>
      </c>
      <c r="S22" s="99">
        <f>#N/A</f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>#N/A</f>
        <v>1253.1800000000221</v>
      </c>
      <c r="H23" s="155">
        <f>#N/A</f>
        <v>100.70780095858521</v>
      </c>
      <c r="I23" s="156">
        <f>#N/A</f>
        <v>-222824.31999999998</v>
      </c>
      <c r="J23" s="156">
        <f>#N/A</f>
        <v>44.45086020719961</v>
      </c>
      <c r="K23" s="156">
        <v>140248.27</v>
      </c>
      <c r="L23" s="159">
        <f>#N/A</f>
        <v>38057.51000000001</v>
      </c>
      <c r="M23" s="207">
        <f>#N/A</f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>#N/A</f>
        <v>-1079.609999999957</v>
      </c>
      <c r="Q23" s="156">
        <f>#N/A</f>
        <v>97.16459931558128</v>
      </c>
      <c r="R23" s="280">
        <f>R24+R32+R33+R34+R35</f>
        <v>37059</v>
      </c>
      <c r="S23" s="288">
        <f>#N/A</f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>#N/A</f>
        <v>-975.7699999999895</v>
      </c>
      <c r="H24" s="155">
        <f>#N/A</f>
        <v>98.82022152660146</v>
      </c>
      <c r="I24" s="156">
        <f>#N/A</f>
        <v>-124888.87</v>
      </c>
      <c r="J24" s="156">
        <f>#N/A</f>
        <v>39.55654555926068</v>
      </c>
      <c r="K24" s="156">
        <v>71540.14</v>
      </c>
      <c r="L24" s="159">
        <f>#N/A</f>
        <v>10191.990000000005</v>
      </c>
      <c r="M24" s="207">
        <f>#N/A</f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>#N/A</f>
        <v>-1308.9599999999919</v>
      </c>
      <c r="Q24" s="156">
        <f>#N/A</f>
        <v>91.48039911221619</v>
      </c>
      <c r="R24" s="106">
        <f>R25+R28+R29</f>
        <v>14352</v>
      </c>
      <c r="S24" s="99">
        <f>#N/A</f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>#N/A</f>
        <v>551.9400000000005</v>
      </c>
      <c r="H25" s="171">
        <f>#N/A</f>
        <v>105.75891319998749</v>
      </c>
      <c r="I25" s="172">
        <f>#N/A</f>
        <v>-12672.96</v>
      </c>
      <c r="J25" s="172">
        <f>#N/A</f>
        <v>44.43877416809155</v>
      </c>
      <c r="K25" s="173">
        <v>8640.15</v>
      </c>
      <c r="L25" s="164">
        <f>#N/A</f>
        <v>1495.8900000000012</v>
      </c>
      <c r="M25" s="213">
        <f>#N/A</f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>#N/A</f>
        <v>135.63000000000102</v>
      </c>
      <c r="Q25" s="172">
        <f>#N/A</f>
        <v>153.3766233766237</v>
      </c>
      <c r="R25" s="280">
        <v>347</v>
      </c>
      <c r="S25" s="288">
        <f>#N/A</f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>#N/A</f>
        <v>-407.73</v>
      </c>
      <c r="H26" s="197">
        <f>#N/A</f>
        <v>32.606611570247935</v>
      </c>
      <c r="I26" s="198">
        <f>#N/A</f>
        <v>-1625.03</v>
      </c>
      <c r="J26" s="198">
        <f>#N/A</f>
        <v>10.825330626131812</v>
      </c>
      <c r="K26" s="198">
        <v>263.65</v>
      </c>
      <c r="L26" s="198">
        <f>#N/A</f>
        <v>-66.37999999999997</v>
      </c>
      <c r="M26" s="226">
        <f>#N/A</f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>#N/A</f>
        <v>-57.97</v>
      </c>
      <c r="Q26" s="198">
        <f>#N/A</f>
        <v>-5.399999999999998</v>
      </c>
      <c r="R26" s="106"/>
      <c r="S26" s="99">
        <f>#N/A</f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>#N/A</f>
        <v>959.6700000000001</v>
      </c>
      <c r="H27" s="197">
        <f>#N/A</f>
        <v>110.68781949193126</v>
      </c>
      <c r="I27" s="198">
        <f>#N/A</f>
        <v>-11047.93</v>
      </c>
      <c r="J27" s="198">
        <f>#N/A</f>
        <v>47.35746925433727</v>
      </c>
      <c r="K27" s="198">
        <v>8376.5</v>
      </c>
      <c r="L27" s="198">
        <f>#N/A</f>
        <v>1562.2700000000004</v>
      </c>
      <c r="M27" s="226">
        <f>#N/A</f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>#N/A</f>
        <v>193.60000000000036</v>
      </c>
      <c r="Q27" s="198">
        <f>#N/A</f>
        <v>197.23756906077347</v>
      </c>
      <c r="R27" s="106"/>
      <c r="S27" s="99">
        <f>#N/A</f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>#N/A</f>
        <v>-174.28</v>
      </c>
      <c r="H28" s="171">
        <f>#N/A</f>
        <v>-35.31055900621117</v>
      </c>
      <c r="I28" s="172">
        <f>#N/A</f>
        <v>-865.48</v>
      </c>
      <c r="J28" s="172">
        <f>#N/A</f>
        <v>-5.546341463414634</v>
      </c>
      <c r="K28" s="172">
        <v>420.08</v>
      </c>
      <c r="L28" s="172">
        <f>#N/A</f>
        <v>-465.56</v>
      </c>
      <c r="M28" s="210">
        <f>#N/A</f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>#N/A</f>
        <v>-155</v>
      </c>
      <c r="Q28" s="172">
        <f>O28/N28*100</f>
        <v>-2999.9999999999914</v>
      </c>
      <c r="R28" s="106">
        <v>5</v>
      </c>
      <c r="S28" s="99">
        <f>#N/A</f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>#N/A</f>
        <v>-1353.429999999993</v>
      </c>
      <c r="H29" s="171">
        <f>#N/A</f>
        <v>98.1458593054319</v>
      </c>
      <c r="I29" s="172">
        <f>#N/A</f>
        <v>-111350.43</v>
      </c>
      <c r="J29" s="172">
        <f>#N/A</f>
        <v>39.150110387339346</v>
      </c>
      <c r="K29" s="173">
        <v>62479.91</v>
      </c>
      <c r="L29" s="173">
        <f>#N/A</f>
        <v>9161.660000000003</v>
      </c>
      <c r="M29" s="209">
        <f>#N/A</f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>#N/A</f>
        <v>-1289.5899999999965</v>
      </c>
      <c r="Q29" s="172">
        <f>O29/N29*100</f>
        <v>91.46249586229727</v>
      </c>
      <c r="R29" s="280">
        <v>14000</v>
      </c>
      <c r="S29" s="288">
        <f>#N/A</f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>#N/A</f>
        <v>2071.2400000000016</v>
      </c>
      <c r="H30" s="197">
        <f>#N/A</f>
        <v>109.380615942029</v>
      </c>
      <c r="I30" s="198">
        <f>#N/A</f>
        <v>-33381.759999999995</v>
      </c>
      <c r="J30" s="198">
        <f>#N/A</f>
        <v>41.97806476283177</v>
      </c>
      <c r="K30" s="198">
        <v>19348.56</v>
      </c>
      <c r="L30" s="198">
        <f>#N/A</f>
        <v>4802.68</v>
      </c>
      <c r="M30" s="226">
        <f>#N/A</f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>#N/A</f>
        <v>196.71000000000276</v>
      </c>
      <c r="Q30" s="198">
        <f>O30/N30*100</f>
        <v>104.23032258064522</v>
      </c>
      <c r="R30" s="106"/>
      <c r="S30" s="99">
        <f>#N/A</f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>#N/A</f>
        <v>-3424.6699999999983</v>
      </c>
      <c r="H31" s="197">
        <f>#N/A</f>
        <v>93.27375036826083</v>
      </c>
      <c r="I31" s="198">
        <f>#N/A</f>
        <v>-77968.67</v>
      </c>
      <c r="J31" s="198">
        <f>#N/A</f>
        <v>37.853266804294634</v>
      </c>
      <c r="K31" s="198">
        <v>43131.35</v>
      </c>
      <c r="L31" s="198">
        <f>#N/A</f>
        <v>4358.980000000003</v>
      </c>
      <c r="M31" s="226">
        <f>#N/A</f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>#N/A</f>
        <v>-1486.2999999999956</v>
      </c>
      <c r="Q31" s="198">
        <f>O31/N31*100</f>
        <v>85.78383548541372</v>
      </c>
      <c r="R31" s="106"/>
      <c r="S31" s="99">
        <f>#N/A</f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>#N/A</f>
        <v>0.2</v>
      </c>
      <c r="H32" s="155"/>
      <c r="I32" s="156">
        <f>#N/A</f>
        <v>0.2</v>
      </c>
      <c r="J32" s="156"/>
      <c r="K32" s="165">
        <v>0</v>
      </c>
      <c r="L32" s="156">
        <f>#N/A</f>
        <v>0.2</v>
      </c>
      <c r="M32" s="208"/>
      <c r="N32" s="155">
        <f>E32-квітень!E32</f>
        <v>0</v>
      </c>
      <c r="O32" s="158">
        <f>F32-квітень!F32</f>
        <v>0</v>
      </c>
      <c r="P32" s="159">
        <f>#N/A</f>
        <v>0</v>
      </c>
      <c r="Q32" s="156"/>
      <c r="R32" s="106"/>
      <c r="S32" s="99">
        <f>#N/A</f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>#N/A</f>
        <v>36.230000000000004</v>
      </c>
      <c r="H33" s="155">
        <f>#N/A</f>
        <v>192.8974358974359</v>
      </c>
      <c r="I33" s="156">
        <f>#N/A</f>
        <v>-39.769999999999996</v>
      </c>
      <c r="J33" s="156">
        <f>#N/A</f>
        <v>65.41739130434783</v>
      </c>
      <c r="K33" s="156">
        <v>51.14</v>
      </c>
      <c r="L33" s="156">
        <f>#N/A</f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>#N/A</f>
        <v>10.820000000000007</v>
      </c>
      <c r="Q33" s="156">
        <f>O33/N33*100</f>
        <v>190.16666666666674</v>
      </c>
      <c r="R33" s="106">
        <v>7</v>
      </c>
      <c r="S33" s="99">
        <f>#N/A</f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>#N/A</f>
        <v>-26.77</v>
      </c>
      <c r="H34" s="155"/>
      <c r="I34" s="156">
        <f>#N/A</f>
        <v>-26.77</v>
      </c>
      <c r="J34" s="156"/>
      <c r="K34" s="156">
        <v>-109.72</v>
      </c>
      <c r="L34" s="156">
        <f>#N/A</f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>#N/A</f>
        <v>0.5800000000000018</v>
      </c>
      <c r="Q34" s="156"/>
      <c r="R34" s="106"/>
      <c r="S34" s="99">
        <f>#N/A</f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>#N/A</f>
        <v>2219.290000000008</v>
      </c>
      <c r="H35" s="162">
        <f>#N/A</f>
        <v>102.35329359731173</v>
      </c>
      <c r="I35" s="163">
        <f>#N/A</f>
        <v>-97869.11</v>
      </c>
      <c r="J35" s="163">
        <f>#N/A</f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>#N/A</f>
        <v>217.95000000001164</v>
      </c>
      <c r="Q35" s="163">
        <f>O35/N35*100</f>
        <v>100.96013215859037</v>
      </c>
      <c r="R35" s="280">
        <v>22700</v>
      </c>
      <c r="S35" s="288">
        <f>#N/A</f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>#N/A</f>
        <v>0.01</v>
      </c>
      <c r="H36" s="104"/>
      <c r="I36" s="103">
        <f>#N/A</f>
        <v>0.01</v>
      </c>
      <c r="J36" s="103"/>
      <c r="K36" s="126">
        <v>0.18</v>
      </c>
      <c r="L36" s="126">
        <f>#N/A</f>
        <v>-0.16999999999999998</v>
      </c>
      <c r="M36" s="214">
        <f>#N/A</f>
        <v>0.05555555555555556</v>
      </c>
      <c r="N36" s="104">
        <f>E36-квітень!E36</f>
        <v>0</v>
      </c>
      <c r="O36" s="142">
        <f>F36-квітень!F36</f>
        <v>0.01</v>
      </c>
      <c r="P36" s="105">
        <f>#N/A</f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>#N/A</f>
        <v>341.6899999999987</v>
      </c>
      <c r="H37" s="104">
        <f>#N/A</f>
        <v>101.80597251585624</v>
      </c>
      <c r="I37" s="103">
        <f>#N/A</f>
        <v>-21738.31</v>
      </c>
      <c r="J37" s="103">
        <f>#N/A</f>
        <v>46.97973170731707</v>
      </c>
      <c r="K37" s="126">
        <v>17552.06</v>
      </c>
      <c r="L37" s="126">
        <f>#N/A</f>
        <v>1709.6299999999974</v>
      </c>
      <c r="M37" s="214">
        <f>#N/A</f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>#N/A</f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>#N/A</f>
        <v>1880.1900000000023</v>
      </c>
      <c r="H38" s="104">
        <f>#N/A</f>
        <v>102.49494426751593</v>
      </c>
      <c r="I38" s="103">
        <f>#N/A</f>
        <v>-76098.91</v>
      </c>
      <c r="J38" s="103">
        <f>#N/A</f>
        <v>50.37214252594413</v>
      </c>
      <c r="K38" s="126">
        <v>51200.46</v>
      </c>
      <c r="L38" s="126">
        <f>#N/A</f>
        <v>26039.730000000003</v>
      </c>
      <c r="M38" s="214">
        <f>#N/A</f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>#N/A</f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>#N/A</f>
        <v>-2.6099999999999994</v>
      </c>
      <c r="H39" s="104">
        <f>#N/A</f>
        <v>89.8443579766537</v>
      </c>
      <c r="I39" s="103">
        <f>#N/A</f>
        <v>-31.91</v>
      </c>
      <c r="J39" s="103">
        <f>#N/A</f>
        <v>41.981818181818184</v>
      </c>
      <c r="K39" s="126">
        <v>14.01</v>
      </c>
      <c r="L39" s="126">
        <f>#N/A</f>
        <v>9.08</v>
      </c>
      <c r="M39" s="214">
        <f>#N/A</f>
        <v>1.6481084939329051</v>
      </c>
      <c r="N39" s="104">
        <f>E39-квітень!E39</f>
        <v>0</v>
      </c>
      <c r="O39" s="142">
        <f>F39-квітень!F39</f>
        <v>0</v>
      </c>
      <c r="P39" s="105">
        <f>#N/A</f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>#N/A</f>
        <v>0.35</v>
      </c>
      <c r="H40" s="29"/>
      <c r="I40" s="36">
        <f>#N/A</f>
        <v>0.35</v>
      </c>
      <c r="J40" s="36"/>
      <c r="K40" s="118">
        <v>0</v>
      </c>
      <c r="L40" s="118">
        <f>#N/A</f>
        <v>0.35</v>
      </c>
      <c r="M40" s="215" t="e">
        <f>#N/A</f>
        <v>#DIV/0!</v>
      </c>
      <c r="N40" s="155">
        <f>E40-квітень!E40</f>
        <v>0</v>
      </c>
      <c r="O40" s="158">
        <f>F40-квітень!F40</f>
        <v>0.35</v>
      </c>
      <c r="P40" s="35">
        <f>#N/A</f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>#N/A</f>
        <v>4514.689999999995</v>
      </c>
      <c r="M41" s="203">
        <f>#N/A</f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>#N/A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>#N/A</f>
        <v>1964.6</v>
      </c>
      <c r="M42" s="216">
        <f>#N/A</f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>#N/A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>#N/A</f>
        <v>-420.84000000000015</v>
      </c>
      <c r="H43" s="162">
        <f>#N/A</f>
        <v>96.13908256880734</v>
      </c>
      <c r="I43" s="163">
        <f>#N/A</f>
        <v>-19520.84</v>
      </c>
      <c r="J43" s="163">
        <f>F43/D43*100</f>
        <v>34.93053333333333</v>
      </c>
      <c r="K43" s="163">
        <v>10098.73</v>
      </c>
      <c r="L43" s="163">
        <f>#N/A</f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>#N/A</f>
        <v>-127.70300000000043</v>
      </c>
      <c r="Q43" s="163">
        <f>#N/A</f>
        <v>95.43917857142856</v>
      </c>
      <c r="R43" s="36">
        <v>2672.3</v>
      </c>
      <c r="S43" s="36">
        <f>#N/A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>#N/A</f>
        <v>71.8</v>
      </c>
      <c r="H44" s="162">
        <f>F44/E44*100</f>
        <v>441.9047619047619</v>
      </c>
      <c r="I44" s="163">
        <f>#N/A</f>
        <v>52.8</v>
      </c>
      <c r="J44" s="163">
        <f>#N/A</f>
        <v>231.99999999999997</v>
      </c>
      <c r="K44" s="163">
        <v>27.51</v>
      </c>
      <c r="L44" s="163">
        <f>#N/A</f>
        <v>65.28999999999999</v>
      </c>
      <c r="M44" s="216">
        <f>#N/A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>#N/A</f>
        <v>8.99799999999999</v>
      </c>
      <c r="Q44" s="163">
        <f>#N/A</f>
        <v>999.799999999999</v>
      </c>
      <c r="R44" s="36">
        <v>1</v>
      </c>
      <c r="S44" s="36">
        <f>#N/A</f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>#N/A</f>
        <v>2.03</v>
      </c>
      <c r="H45" s="162" t="e">
        <f>F45/E45*100</f>
        <v>#DIV/0!</v>
      </c>
      <c r="I45" s="163">
        <f>#N/A</f>
        <v>2.03</v>
      </c>
      <c r="J45" s="163" t="e">
        <f>#N/A</f>
        <v>#DIV/0!</v>
      </c>
      <c r="K45" s="163">
        <v>0.1</v>
      </c>
      <c r="L45" s="163">
        <f>#N/A</f>
        <v>1.9299999999999997</v>
      </c>
      <c r="M45" s="216">
        <f>#N/A</f>
        <v>20.299999999999997</v>
      </c>
      <c r="N45" s="162">
        <f>E45-квітень!E45</f>
        <v>0</v>
      </c>
      <c r="O45" s="166">
        <f>F45-квітень!F45</f>
        <v>0</v>
      </c>
      <c r="P45" s="165">
        <f>#N/A</f>
        <v>0</v>
      </c>
      <c r="Q45" s="163" t="e">
        <f>#N/A</f>
        <v>#DIV/0!</v>
      </c>
      <c r="R45" s="36">
        <v>0</v>
      </c>
      <c r="S45" s="36">
        <f>#N/A</f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>#N/A</f>
        <v>336.26</v>
      </c>
      <c r="H46" s="162">
        <f>#N/A</f>
        <v>417.2264150943396</v>
      </c>
      <c r="I46" s="163">
        <f>#N/A</f>
        <v>182.26</v>
      </c>
      <c r="J46" s="163">
        <f>#N/A</f>
        <v>170.1</v>
      </c>
      <c r="K46" s="163">
        <v>50.4</v>
      </c>
      <c r="L46" s="163">
        <f>#N/A</f>
        <v>391.86</v>
      </c>
      <c r="M46" s="216">
        <f>#N/A</f>
        <v>8.775</v>
      </c>
      <c r="N46" s="162">
        <f>E46-квітень!E46</f>
        <v>22</v>
      </c>
      <c r="O46" s="166">
        <f>F46-квітень!F46</f>
        <v>47.77699999999999</v>
      </c>
      <c r="P46" s="165">
        <f>#N/A</f>
        <v>25.776999999999987</v>
      </c>
      <c r="Q46" s="163">
        <f>#N/A</f>
        <v>217.16818181818175</v>
      </c>
      <c r="R46" s="36">
        <v>22</v>
      </c>
      <c r="S46" s="36">
        <f>#N/A</f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>#N/A</f>
        <v>-39.79</v>
      </c>
      <c r="H47" s="162">
        <f>#N/A</f>
        <v>2.4754901960784315</v>
      </c>
      <c r="I47" s="163">
        <f>#N/A</f>
        <v>-96.49</v>
      </c>
      <c r="J47" s="163">
        <f>#N/A</f>
        <v>1.035897435897436</v>
      </c>
      <c r="K47" s="163">
        <v>6.8</v>
      </c>
      <c r="L47" s="163">
        <f>#N/A</f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>#N/A</f>
        <v>-6.799999999999997</v>
      </c>
      <c r="Q47" s="163">
        <f>#N/A</f>
        <v>0</v>
      </c>
      <c r="R47" s="36">
        <v>6.8</v>
      </c>
      <c r="S47" s="36">
        <f>#N/A</f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>#N/A</f>
        <v>105.13</v>
      </c>
      <c r="H48" s="162">
        <f>#N/A</f>
        <v>126.28250000000001</v>
      </c>
      <c r="I48" s="163">
        <f>#N/A</f>
        <v>-224.87</v>
      </c>
      <c r="J48" s="163">
        <f>#N/A</f>
        <v>69.19589041095891</v>
      </c>
      <c r="K48" s="163">
        <v>76.33</v>
      </c>
      <c r="L48" s="163">
        <f>#N/A</f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>#N/A</f>
        <v>51.65999999999997</v>
      </c>
      <c r="Q48" s="163">
        <f>#N/A</f>
        <v>186.09999999999997</v>
      </c>
      <c r="R48" s="36">
        <v>60</v>
      </c>
      <c r="S48" s="36">
        <f>#N/A</f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>#N/A</f>
        <v>0</v>
      </c>
      <c r="M49" s="216" t="e">
        <f>#N/A</f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>#N/A</f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>#N/A</f>
        <v>1110.2700000000004</v>
      </c>
      <c r="H50" s="162">
        <f>#N/A</f>
        <v>121.60058365758755</v>
      </c>
      <c r="I50" s="163">
        <f>#N/A</f>
        <v>-4749.73</v>
      </c>
      <c r="J50" s="163">
        <f>#N/A</f>
        <v>56.82063636363637</v>
      </c>
      <c r="K50" s="163">
        <v>4057.41</v>
      </c>
      <c r="L50" s="163">
        <f>#N/A</f>
        <v>2192.8600000000006</v>
      </c>
      <c r="M50" s="216">
        <f>#N/A</f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>#N/A</f>
        <v>668.7600000000002</v>
      </c>
      <c r="Q50" s="163">
        <f>#N/A</f>
        <v>174.3066666666667</v>
      </c>
      <c r="R50" s="36">
        <v>1000</v>
      </c>
      <c r="S50" s="36">
        <f>#N/A</f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>#N/A</f>
        <v>91.35</v>
      </c>
      <c r="H51" s="162">
        <f>#N/A</f>
        <v>173.07999999999998</v>
      </c>
      <c r="I51" s="163">
        <f>#N/A</f>
        <v>-93.65</v>
      </c>
      <c r="J51" s="163">
        <f>#N/A</f>
        <v>69.79032258064515</v>
      </c>
      <c r="K51" s="163">
        <v>33.93</v>
      </c>
      <c r="L51" s="163">
        <f>#N/A</f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>#N/A</f>
        <v>15.97999999999999</v>
      </c>
      <c r="Q51" s="163">
        <f>#N/A</f>
        <v>163.91999999999996</v>
      </c>
      <c r="R51" s="36">
        <v>25</v>
      </c>
      <c r="S51" s="36">
        <f>#N/A</f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>#N/A</f>
        <v>5.32</v>
      </c>
      <c r="H52" s="162">
        <f>#N/A</f>
        <v>176</v>
      </c>
      <c r="I52" s="163">
        <f>#N/A</f>
        <v>-7.68</v>
      </c>
      <c r="J52" s="163">
        <f>#N/A</f>
        <v>61.6</v>
      </c>
      <c r="K52" s="163">
        <v>7.72</v>
      </c>
      <c r="L52" s="163">
        <f>#N/A</f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>#N/A</f>
        <v>-2.039999999999999</v>
      </c>
      <c r="Q52" s="163">
        <f>#N/A</f>
        <v>32.00000000000003</v>
      </c>
      <c r="R52" s="36">
        <v>3</v>
      </c>
      <c r="S52" s="36">
        <f>#N/A</f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>#N/A</f>
        <v>-318.67999999999984</v>
      </c>
      <c r="H53" s="162">
        <f>#N/A</f>
        <v>89.5171052631579</v>
      </c>
      <c r="I53" s="163">
        <f>#N/A</f>
        <v>-4553.68</v>
      </c>
      <c r="J53" s="163">
        <f>#N/A</f>
        <v>37.40646048109966</v>
      </c>
      <c r="K53" s="163">
        <v>3304.24</v>
      </c>
      <c r="L53" s="163">
        <f>#N/A</f>
        <v>-582.9199999999996</v>
      </c>
      <c r="M53" s="216">
        <f>#N/A</f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>#N/A</f>
        <v>-76.38200000000006</v>
      </c>
      <c r="Q53" s="163">
        <f>#N/A</f>
        <v>87.4783606557377</v>
      </c>
      <c r="R53" s="36">
        <v>533.6</v>
      </c>
      <c r="S53" s="36">
        <f>#N/A</f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>#N/A</f>
        <v>-141.48000000000002</v>
      </c>
      <c r="H54" s="162">
        <f>#N/A</f>
        <v>70.21473684210527</v>
      </c>
      <c r="I54" s="163">
        <f>#N/A</f>
        <v>-866.48</v>
      </c>
      <c r="J54" s="163">
        <f>#N/A</f>
        <v>27.79333333333333</v>
      </c>
      <c r="K54" s="163">
        <v>2573.46</v>
      </c>
      <c r="L54" s="163">
        <f>#N/A</f>
        <v>-2239.94</v>
      </c>
      <c r="M54" s="216">
        <f>#N/A</f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>#N/A</f>
        <v>-100.74200000000002</v>
      </c>
      <c r="Q54" s="163">
        <f>#N/A</f>
        <v>30.522758620689643</v>
      </c>
      <c r="R54" s="36">
        <v>70</v>
      </c>
      <c r="S54" s="36">
        <f>#N/A</f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>#N/A</f>
        <v>-109.62</v>
      </c>
      <c r="H55" s="29">
        <f>#N/A</f>
        <v>72.595</v>
      </c>
      <c r="I55" s="103">
        <f>#N/A</f>
        <v>-707.62</v>
      </c>
      <c r="J55" s="103">
        <f>#N/A</f>
        <v>29.096192384769537</v>
      </c>
      <c r="K55" s="103">
        <v>367.55</v>
      </c>
      <c r="L55" s="103">
        <f>F55-K55</f>
        <v>-77.17000000000002</v>
      </c>
      <c r="M55" s="108">
        <f>#N/A</f>
        <v>0.7900421711331791</v>
      </c>
      <c r="N55" s="104">
        <f>E55-квітень!E55</f>
        <v>130</v>
      </c>
      <c r="O55" s="142">
        <f>F55-квітень!F55</f>
        <v>35</v>
      </c>
      <c r="P55" s="105">
        <f>#N/A</f>
        <v>-95</v>
      </c>
      <c r="Q55" s="118">
        <f>#N/A</f>
        <v>26.923076923076923</v>
      </c>
      <c r="R55" s="36"/>
      <c r="S55" s="36">
        <f>#N/A</f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>#N/A</f>
        <v>0.15</v>
      </c>
      <c r="H56" s="29" t="e">
        <f>#N/A</f>
        <v>#DIV/0!</v>
      </c>
      <c r="I56" s="103">
        <f>#N/A</f>
        <v>-0.85</v>
      </c>
      <c r="J56" s="103">
        <f>#N/A</f>
        <v>15</v>
      </c>
      <c r="K56" s="103">
        <v>0.23</v>
      </c>
      <c r="L56" s="103">
        <f>F56-K56</f>
        <v>-0.08000000000000002</v>
      </c>
      <c r="M56" s="108">
        <f>#N/A</f>
        <v>0.6521739130434782</v>
      </c>
      <c r="N56" s="104">
        <f>E56-квітень!E56</f>
        <v>0</v>
      </c>
      <c r="O56" s="142">
        <f>F56-квітень!F56</f>
        <v>0.03</v>
      </c>
      <c r="P56" s="105">
        <f>#N/A</f>
        <v>0.03</v>
      </c>
      <c r="Q56" s="118" t="e">
        <f>#N/A</f>
        <v>#DIV/0!</v>
      </c>
      <c r="R56" s="36"/>
      <c r="S56" s="36">
        <f>#N/A</f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>#N/A</f>
        <v>0</v>
      </c>
      <c r="H57" s="29"/>
      <c r="I57" s="103">
        <f>#N/A</f>
        <v>-1</v>
      </c>
      <c r="J57" s="103">
        <f>#N/A</f>
        <v>0</v>
      </c>
      <c r="K57" s="103">
        <v>0.02</v>
      </c>
      <c r="L57" s="103">
        <f>F57-K57</f>
        <v>-0.02</v>
      </c>
      <c r="M57" s="108">
        <f>#N/A</f>
        <v>0</v>
      </c>
      <c r="N57" s="104">
        <f>E57-квітень!E57</f>
        <v>0</v>
      </c>
      <c r="O57" s="142">
        <f>F57-квітень!F57</f>
        <v>0</v>
      </c>
      <c r="P57" s="105">
        <f>#N/A</f>
        <v>0</v>
      </c>
      <c r="Q57" s="118"/>
      <c r="R57" s="36"/>
      <c r="S57" s="36">
        <f>#N/A</f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>#N/A</f>
        <v>-32</v>
      </c>
      <c r="H58" s="29">
        <f>#N/A</f>
        <v>57.333333333333336</v>
      </c>
      <c r="I58" s="103">
        <f>#N/A</f>
        <v>-157</v>
      </c>
      <c r="J58" s="103">
        <f>#N/A</f>
        <v>21.5</v>
      </c>
      <c r="K58" s="103">
        <v>2205.67</v>
      </c>
      <c r="L58" s="103">
        <f>F58-K58</f>
        <v>-2162.67</v>
      </c>
      <c r="M58" s="108">
        <f>#N/A</f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>#N/A</f>
        <v>-5.770000000000003</v>
      </c>
      <c r="Q58" s="118">
        <f>#N/A</f>
        <v>61.53333333333332</v>
      </c>
      <c r="R58" s="36"/>
      <c r="S58" s="36">
        <f>#N/A</f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>#N/A</f>
        <v>-0.45999999999999996</v>
      </c>
      <c r="H59" s="162"/>
      <c r="I59" s="163">
        <f>#N/A</f>
        <v>-0.45999999999999996</v>
      </c>
      <c r="J59" s="163">
        <f>#N/A</f>
        <v>81.60000000000001</v>
      </c>
      <c r="K59" s="163">
        <v>2.46</v>
      </c>
      <c r="L59" s="163">
        <f>F59-K59</f>
        <v>-0.41999999999999993</v>
      </c>
      <c r="M59" s="216">
        <f>#N/A</f>
        <v>0.8292682926829269</v>
      </c>
      <c r="N59" s="162">
        <f>E59-квітень!E59</f>
        <v>0</v>
      </c>
      <c r="O59" s="166">
        <f>F59-квітень!F59</f>
        <v>0</v>
      </c>
      <c r="P59" s="165">
        <f>#N/A</f>
        <v>0</v>
      </c>
      <c r="Q59" s="163"/>
      <c r="R59" s="36">
        <v>0</v>
      </c>
      <c r="S59" s="36">
        <f>#N/A</f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>#N/A</f>
        <v>-222.86000000000013</v>
      </c>
      <c r="H60" s="162">
        <f>#N/A</f>
        <v>94.76854460093897</v>
      </c>
      <c r="I60" s="163">
        <f>#N/A</f>
        <v>-3312.86</v>
      </c>
      <c r="J60" s="163">
        <f>#N/A</f>
        <v>54.92707482993197</v>
      </c>
      <c r="K60" s="163">
        <v>2320.11</v>
      </c>
      <c r="L60" s="163">
        <f>#N/A</f>
        <v>1717.0299999999997</v>
      </c>
      <c r="M60" s="216">
        <f>#N/A</f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>#N/A</f>
        <v>-99.07200000000012</v>
      </c>
      <c r="Q60" s="163">
        <f>#N/A</f>
        <v>83.48799999999999</v>
      </c>
      <c r="R60" s="36">
        <v>450</v>
      </c>
      <c r="S60" s="36">
        <f>#N/A</f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>#N/A</f>
        <v>0</v>
      </c>
      <c r="H61" s="162" t="e">
        <f>#N/A</f>
        <v>#DIV/0!</v>
      </c>
      <c r="I61" s="163">
        <f>#N/A</f>
        <v>0</v>
      </c>
      <c r="J61" s="163" t="e">
        <f>#N/A</f>
        <v>#DIV/0!</v>
      </c>
      <c r="K61" s="163"/>
      <c r="L61" s="163">
        <f>#N/A</f>
        <v>0</v>
      </c>
      <c r="M61" s="216" t="e">
        <f>#N/A</f>
        <v>#DIV/0!</v>
      </c>
      <c r="N61" s="162">
        <f>E61-березень!E61</f>
        <v>0</v>
      </c>
      <c r="O61" s="166">
        <f>F61-квітень!F61</f>
        <v>0</v>
      </c>
      <c r="P61" s="165">
        <f>#N/A</f>
        <v>0</v>
      </c>
      <c r="Q61" s="163" t="e">
        <f>#N/A</f>
        <v>#DIV/0!</v>
      </c>
      <c r="R61" s="36"/>
      <c r="S61" s="36">
        <f>#N/A</f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>#N/A</f>
        <v>404.92</v>
      </c>
      <c r="M62" s="216">
        <f>#N/A</f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>#N/A</f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>#N/A</f>
        <v>0</v>
      </c>
      <c r="H63" s="162"/>
      <c r="I63" s="163">
        <f>#N/A</f>
        <v>0</v>
      </c>
      <c r="J63" s="163"/>
      <c r="K63" s="164"/>
      <c r="L63" s="163">
        <f>#N/A</f>
        <v>0</v>
      </c>
      <c r="M63" s="216" t="e">
        <f>#N/A</f>
        <v>#DIV/0!</v>
      </c>
      <c r="N63" s="162">
        <f>E63-лютий!E60</f>
        <v>0</v>
      </c>
      <c r="O63" s="166">
        <f>F63-лютий!F60</f>
        <v>0</v>
      </c>
      <c r="P63" s="165">
        <f>#N/A</f>
        <v>0</v>
      </c>
      <c r="Q63" s="163"/>
      <c r="R63" s="36"/>
      <c r="S63" s="36">
        <f>#N/A</f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>#N/A</f>
        <v>34.64</v>
      </c>
      <c r="H64" s="162">
        <f>#N/A</f>
        <v>273.20000000000005</v>
      </c>
      <c r="I64" s="163">
        <f>#N/A</f>
        <v>-105.36</v>
      </c>
      <c r="J64" s="163">
        <f>#N/A</f>
        <v>34.150000000000006</v>
      </c>
      <c r="K64" s="163">
        <v>41.05</v>
      </c>
      <c r="L64" s="163">
        <f>#N/A</f>
        <v>13.590000000000003</v>
      </c>
      <c r="M64" s="216">
        <f>#N/A</f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>#N/A</f>
        <v>-10.002000000000002</v>
      </c>
      <c r="Q64" s="163"/>
      <c r="R64" s="36">
        <v>10</v>
      </c>
      <c r="S64" s="36">
        <f>#N/A</f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>#N/A</f>
        <v>15.950000000000001</v>
      </c>
      <c r="H65" s="162">
        <f>#N/A</f>
        <v>349.21875</v>
      </c>
      <c r="I65" s="163">
        <f>#N/A</f>
        <v>7.350000000000001</v>
      </c>
      <c r="J65" s="163">
        <f>#N/A</f>
        <v>149</v>
      </c>
      <c r="K65" s="163">
        <v>13.52</v>
      </c>
      <c r="L65" s="163">
        <f>#N/A</f>
        <v>8.830000000000002</v>
      </c>
      <c r="M65" s="216">
        <f>#N/A</f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>#N/A</f>
        <v>4.198</v>
      </c>
      <c r="Q65" s="163">
        <f>#N/A</f>
        <v>422.92307692307674</v>
      </c>
      <c r="R65" s="36">
        <v>1.3</v>
      </c>
      <c r="S65" s="36">
        <f>#N/A</f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>#N/A</f>
        <v>-5.25</v>
      </c>
      <c r="H66" s="162"/>
      <c r="I66" s="163">
        <f>#N/A</f>
        <v>-5.25</v>
      </c>
      <c r="J66" s="163"/>
      <c r="K66" s="163">
        <v>0.37</v>
      </c>
      <c r="L66" s="163">
        <f>#N/A</f>
        <v>-5.62</v>
      </c>
      <c r="M66" s="216">
        <f>#N/A</f>
        <v>-14.18918918918919</v>
      </c>
      <c r="N66" s="162">
        <f>E66-квітень!E66</f>
        <v>0</v>
      </c>
      <c r="O66" s="166">
        <f>F66-квітень!F66</f>
        <v>0</v>
      </c>
      <c r="P66" s="165">
        <f>#N/A</f>
        <v>0</v>
      </c>
      <c r="Q66" s="163"/>
      <c r="R66" s="36">
        <v>0</v>
      </c>
      <c r="S66" s="36">
        <f>#N/A</f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>#N/A</f>
        <v>35.57</v>
      </c>
      <c r="H75" s="184"/>
      <c r="I75" s="185">
        <f>#N/A</f>
        <v>35.57</v>
      </c>
      <c r="J75" s="185"/>
      <c r="K75" s="185">
        <v>0</v>
      </c>
      <c r="L75" s="185">
        <f>#N/A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>#N/A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>#N/A</f>
        <v>-4499.87</v>
      </c>
      <c r="H76" s="162">
        <f>F76/E76*100</f>
        <v>0.0028888888888888888</v>
      </c>
      <c r="I76" s="165">
        <f>#N/A</f>
        <v>-104205.9</v>
      </c>
      <c r="J76" s="165">
        <f>F76/D76*100</f>
        <v>0.00012475285739222577</v>
      </c>
      <c r="K76" s="165">
        <v>1041.97</v>
      </c>
      <c r="L76" s="165">
        <f>#N/A</f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>#N/A</f>
        <v>-4499.99</v>
      </c>
      <c r="Q76" s="165">
        <f>O76/N76*100</f>
        <v>0.00022222222222222242</v>
      </c>
      <c r="R76" s="37">
        <v>0</v>
      </c>
      <c r="S76" s="37">
        <f>#N/A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>#N/A</f>
        <v>-11725.1</v>
      </c>
      <c r="H77" s="162">
        <f>F77/E77*100</f>
        <v>2.534497090606816</v>
      </c>
      <c r="I77" s="165">
        <f>#N/A</f>
        <v>-53695.1</v>
      </c>
      <c r="J77" s="165">
        <f>F77/D77*100</f>
        <v>0.5646296296296296</v>
      </c>
      <c r="K77" s="165">
        <v>869.23</v>
      </c>
      <c r="L77" s="165">
        <f>#N/A</f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>#N/A</f>
        <v>-3598.02</v>
      </c>
      <c r="Q77" s="165">
        <f>O77/N77*100</f>
        <v>0.05499999999999893</v>
      </c>
      <c r="R77" s="37">
        <v>200</v>
      </c>
      <c r="S77" s="37">
        <f>#N/A</f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>#N/A</f>
        <v>-7764.58</v>
      </c>
      <c r="H78" s="162">
        <f>F78/E78*100</f>
        <v>37.128906882591096</v>
      </c>
      <c r="I78" s="165">
        <f>#N/A</f>
        <v>-74414.58</v>
      </c>
      <c r="J78" s="165">
        <f>F78/D78*100</f>
        <v>5.804329113924051</v>
      </c>
      <c r="K78" s="165">
        <v>9113.39</v>
      </c>
      <c r="L78" s="165">
        <f>#N/A</f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>#N/A</f>
        <v>-1086.0299999999997</v>
      </c>
      <c r="Q78" s="165">
        <f>O78/N78*100</f>
        <v>71.79142857142857</v>
      </c>
      <c r="R78" s="37">
        <v>1500</v>
      </c>
      <c r="S78" s="37">
        <f>#N/A</f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>#N/A</f>
        <v>1</v>
      </c>
      <c r="H79" s="162">
        <f>F79/E79*100</f>
        <v>120</v>
      </c>
      <c r="I79" s="165">
        <f>#N/A</f>
        <v>-6</v>
      </c>
      <c r="J79" s="165">
        <f>F79/D79*100</f>
        <v>50</v>
      </c>
      <c r="K79" s="165">
        <v>5</v>
      </c>
      <c r="L79" s="165">
        <f>#N/A</f>
        <v>1</v>
      </c>
      <c r="M79" s="207"/>
      <c r="N79" s="162">
        <f>E79-квітень!E79</f>
        <v>1</v>
      </c>
      <c r="O79" s="166">
        <f>F79-квітень!F79</f>
        <v>1</v>
      </c>
      <c r="P79" s="165">
        <f>#N/A</f>
        <v>0</v>
      </c>
      <c r="Q79" s="165">
        <f>O79/N79*100</f>
        <v>100</v>
      </c>
      <c r="R79" s="37">
        <v>1</v>
      </c>
      <c r="S79" s="37">
        <f>#N/A</f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>#N/A</f>
        <v>-23988.55</v>
      </c>
      <c r="H80" s="184">
        <f>F80/E80*100</f>
        <v>16.95153193699152</v>
      </c>
      <c r="I80" s="185">
        <f>#N/A</f>
        <v>-232321.58</v>
      </c>
      <c r="J80" s="185">
        <f>F80/D80*100</f>
        <v>2.064113760661447</v>
      </c>
      <c r="K80" s="185">
        <v>11029.59</v>
      </c>
      <c r="L80" s="185">
        <f>#N/A</f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>#N/A</f>
        <v>-9184.04</v>
      </c>
      <c r="Q80" s="185">
        <f>O80/N80*100</f>
        <v>23.152539536440468</v>
      </c>
      <c r="R80" s="38">
        <f>SUM(R76:R79)</f>
        <v>1701</v>
      </c>
      <c r="S80" s="38">
        <f>#N/A</f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>#N/A</f>
        <v>30.6</v>
      </c>
      <c r="H81" s="162"/>
      <c r="I81" s="165">
        <f>#N/A</f>
        <v>-5.899999999999999</v>
      </c>
      <c r="J81" s="165"/>
      <c r="K81" s="165">
        <v>4.4</v>
      </c>
      <c r="L81" s="165">
        <f>#N/A</f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>#N/A</f>
        <v>23.85</v>
      </c>
      <c r="Q81" s="165"/>
      <c r="R81" s="37">
        <v>1</v>
      </c>
      <c r="S81" s="37">
        <f>#N/A</f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>#N/A</f>
        <v>0</v>
      </c>
      <c r="H82" s="162"/>
      <c r="I82" s="165">
        <f>#N/A</f>
        <v>0</v>
      </c>
      <c r="J82" s="188"/>
      <c r="K82" s="165">
        <v>0</v>
      </c>
      <c r="L82" s="165">
        <f>#N/A</f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>#N/A</f>
        <v>0</v>
      </c>
      <c r="Q82" s="188"/>
      <c r="R82" s="40"/>
      <c r="S82" s="37">
        <f>#N/A</f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>#N/A</f>
        <v>596.7200000000003</v>
      </c>
      <c r="H83" s="162">
        <f>F83/E83*100</f>
        <v>113.24131809608345</v>
      </c>
      <c r="I83" s="165">
        <f>#N/A</f>
        <v>-3256.7799999999997</v>
      </c>
      <c r="J83" s="165">
        <f>F83/D83*100</f>
        <v>61.043301435406704</v>
      </c>
      <c r="K83" s="165">
        <v>4887.77</v>
      </c>
      <c r="L83" s="165">
        <f>#N/A</f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>#N/A</f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>#N/A</f>
        <v>0.05</v>
      </c>
      <c r="H84" s="162"/>
      <c r="I84" s="165">
        <f>#N/A</f>
        <v>0.05</v>
      </c>
      <c r="J84" s="165"/>
      <c r="K84" s="165">
        <v>0.69</v>
      </c>
      <c r="L84" s="165">
        <f>#N/A</f>
        <v>-0.6399999999999999</v>
      </c>
      <c r="M84" s="207">
        <f>#N/A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>#N/A</f>
        <v>0.020000000000000004</v>
      </c>
      <c r="Q84" s="165"/>
      <c r="R84" s="37">
        <v>0</v>
      </c>
      <c r="S84" s="37">
        <f>#N/A</f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>#N/A</f>
        <v>-3262.63</v>
      </c>
      <c r="J85" s="185">
        <f>F85/D85*100</f>
        <v>61.159166666666664</v>
      </c>
      <c r="K85" s="185">
        <v>4892.86</v>
      </c>
      <c r="L85" s="185">
        <f>#N/A</f>
        <v>244.51000000000022</v>
      </c>
      <c r="M85" s="218">
        <f>#N/A</f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>#N/A</f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>#N/A</f>
        <v>-7.5600000000000005</v>
      </c>
      <c r="H86" s="162">
        <f>F86/E86*100</f>
        <v>50.588235294117645</v>
      </c>
      <c r="I86" s="165">
        <f>#N/A</f>
        <v>-30.259999999999998</v>
      </c>
      <c r="J86" s="165">
        <f>F86/D86*100</f>
        <v>20.36842105263158</v>
      </c>
      <c r="K86" s="165">
        <v>9.19</v>
      </c>
      <c r="L86" s="165">
        <f>#N/A</f>
        <v>-1.4499999999999993</v>
      </c>
      <c r="M86" s="207">
        <f>#N/A</f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>#N/A</f>
        <v>-1.0600000000000005</v>
      </c>
      <c r="Q86" s="165">
        <f>O86/N86</f>
        <v>0.11666666666666704</v>
      </c>
      <c r="R86" s="37">
        <v>1.2</v>
      </c>
      <c r="S86" s="37">
        <f>#N/A</f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>#N/A</f>
        <v>0</v>
      </c>
      <c r="H87" s="162"/>
      <c r="I87" s="165">
        <f>#N/A</f>
        <v>0</v>
      </c>
      <c r="J87" s="165"/>
      <c r="K87" s="165">
        <v>0</v>
      </c>
      <c r="L87" s="165">
        <f>#N/A</f>
        <v>0</v>
      </c>
      <c r="M87" s="165"/>
      <c r="N87" s="162">
        <f>E87-квітень!E87</f>
        <v>0</v>
      </c>
      <c r="O87" s="166">
        <f>F87-квітень!F87</f>
        <v>0</v>
      </c>
      <c r="P87" s="165">
        <f>#N/A</f>
        <v>0</v>
      </c>
      <c r="Q87" s="165"/>
      <c r="R87" s="37">
        <v>0</v>
      </c>
      <c r="S87" s="37">
        <f>#N/A</f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>#N/A</f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>#N/A</f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>#N/A</f>
        <v>1.3111841836400915</v>
      </c>
      <c r="N89" s="190">
        <f>N67+N88</f>
        <v>126184.69999999998</v>
      </c>
      <c r="O89" s="190">
        <f>O67+O88</f>
        <v>118367.426</v>
      </c>
      <c r="P89" s="192">
        <f>#N/A</f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25"/>
      <c r="H92" s="325"/>
      <c r="I92" s="325"/>
      <c r="J92" s="325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13"/>
      <c r="P93" s="313"/>
    </row>
    <row r="94" spans="3:16" ht="15">
      <c r="C94" s="80">
        <v>42885</v>
      </c>
      <c r="D94" s="28">
        <v>10664.9</v>
      </c>
      <c r="F94" s="112" t="s">
        <v>58</v>
      </c>
      <c r="G94" s="309"/>
      <c r="H94" s="309"/>
      <c r="I94" s="117"/>
      <c r="J94" s="346"/>
      <c r="K94" s="346"/>
      <c r="L94" s="346"/>
      <c r="M94" s="346"/>
      <c r="N94" s="346"/>
      <c r="O94" s="313"/>
      <c r="P94" s="313"/>
    </row>
    <row r="95" spans="3:16" ht="15.75" customHeight="1">
      <c r="C95" s="80">
        <v>42884</v>
      </c>
      <c r="D95" s="28">
        <v>6919.44</v>
      </c>
      <c r="F95" s="67"/>
      <c r="G95" s="309"/>
      <c r="H95" s="309"/>
      <c r="I95" s="117"/>
      <c r="J95" s="347"/>
      <c r="K95" s="347"/>
      <c r="L95" s="347"/>
      <c r="M95" s="347"/>
      <c r="N95" s="347"/>
      <c r="O95" s="313"/>
      <c r="P95" s="313"/>
    </row>
    <row r="96" spans="3:14" ht="15.75" customHeight="1">
      <c r="C96" s="80"/>
      <c r="F96" s="67"/>
      <c r="G96" s="314"/>
      <c r="H96" s="314"/>
      <c r="I96" s="123"/>
      <c r="J96" s="346"/>
      <c r="K96" s="346"/>
      <c r="L96" s="346"/>
      <c r="M96" s="346"/>
      <c r="N96" s="346"/>
    </row>
    <row r="97" spans="2:14" ht="18" customHeight="1">
      <c r="B97" s="315" t="s">
        <v>56</v>
      </c>
      <c r="C97" s="316"/>
      <c r="D97" s="132">
        <v>1135.71022</v>
      </c>
      <c r="E97" s="68"/>
      <c r="F97" s="124" t="s">
        <v>105</v>
      </c>
      <c r="G97" s="309"/>
      <c r="H97" s="309"/>
      <c r="I97" s="125"/>
      <c r="J97" s="346"/>
      <c r="K97" s="346"/>
      <c r="L97" s="346"/>
      <c r="M97" s="346"/>
      <c r="N97" s="346"/>
    </row>
    <row r="98" spans="6:13" ht="9.75" customHeight="1" hidden="1">
      <c r="F98" s="67"/>
      <c r="G98" s="309"/>
      <c r="H98" s="309"/>
      <c r="I98" s="67"/>
      <c r="J98" s="68"/>
      <c r="K98" s="68"/>
      <c r="L98" s="68"/>
      <c r="M98" s="68"/>
    </row>
    <row r="99" spans="2:13" ht="22.5" customHeight="1" hidden="1">
      <c r="B99" s="310" t="s">
        <v>59</v>
      </c>
      <c r="C99" s="311"/>
      <c r="D99" s="79">
        <v>0</v>
      </c>
      <c r="E99" s="50" t="s">
        <v>24</v>
      </c>
      <c r="F99" s="67"/>
      <c r="G99" s="309"/>
      <c r="H99" s="30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312"/>
      <c r="P101" s="312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>#N/A</f>
        <v>22597.689999999995</v>
      </c>
      <c r="L103" s="28">
        <f>#N/A</f>
        <v>2548.230000000001</v>
      </c>
      <c r="M103" s="28">
        <f>#N/A</f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>#N/A</f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>#N/A</f>
        <v>529507.3</v>
      </c>
      <c r="F104" s="227">
        <f>#N/A</f>
        <v>532467.3300000001</v>
      </c>
      <c r="G104" s="28">
        <f>#N/A</f>
        <v>2965.280000000091</v>
      </c>
      <c r="H104" s="228">
        <f>F104/E104</f>
        <v>1.0055901590025293</v>
      </c>
      <c r="I104" s="28">
        <f>#N/A</f>
        <v>-825018.5199999999</v>
      </c>
      <c r="J104" s="228">
        <f>F104/D104</f>
        <v>0.3922436986879693</v>
      </c>
      <c r="K104" s="28">
        <f>#N/A</f>
        <v>22597.689999999995</v>
      </c>
      <c r="L104" s="28">
        <f>#N/A</f>
        <v>2548.230000000001</v>
      </c>
      <c r="M104" s="28">
        <f>#N/A</f>
        <v>17.713084682263524</v>
      </c>
      <c r="N104" s="28">
        <f>#N/A</f>
        <v>112090.19999999998</v>
      </c>
      <c r="O104" s="227">
        <f>#N/A</f>
        <v>112706.06600000002</v>
      </c>
      <c r="P104" s="28">
        <f>#N/A</f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>#N/A</f>
        <v>0</v>
      </c>
      <c r="F105" s="28">
        <f>#N/A</f>
        <v>0.8399999999674037</v>
      </c>
      <c r="G105" s="28">
        <f>#N/A</f>
        <v>-4.410000000095806</v>
      </c>
      <c r="H105" s="228"/>
      <c r="I105" s="28">
        <f>#N/A</f>
        <v>-4.410000000149012</v>
      </c>
      <c r="J105" s="228"/>
      <c r="K105" s="28">
        <f>#N/A</f>
        <v>375251.6</v>
      </c>
      <c r="L105" s="28">
        <f>#N/A</f>
        <v>132070.65000000005</v>
      </c>
      <c r="M105" s="28">
        <f>#N/A</f>
        <v>-16.37471816161446</v>
      </c>
      <c r="N105" s="28">
        <f>#N/A</f>
        <v>0</v>
      </c>
      <c r="O105" s="28">
        <f>#N/A</f>
        <v>0.34999999999126885</v>
      </c>
      <c r="P105" s="28">
        <f>#N/A</f>
        <v>0.3499999999855845</v>
      </c>
      <c r="Q105" s="28"/>
      <c r="R105" s="28">
        <f>#N/A</f>
        <v>109914</v>
      </c>
      <c r="S105" s="28"/>
      <c r="T105" s="28"/>
      <c r="U105" s="28">
        <f>#N/A</f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>#N/A</f>
        <v>1222868.6900000002</v>
      </c>
      <c r="E113" s="241">
        <f>#N/A</f>
        <v>550655.6</v>
      </c>
      <c r="F113" s="241">
        <f>#N/A</f>
        <v>545829.08</v>
      </c>
      <c r="G113" s="241">
        <f>#N/A</f>
        <v>-4826.520000000019</v>
      </c>
      <c r="H113" s="241">
        <f>F113/E113*100</f>
        <v>99.12349570221387</v>
      </c>
      <c r="I113" s="35">
        <f>#N/A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>#N/A</f>
        <v>1222868.6900000002</v>
      </c>
      <c r="E114" s="241">
        <f>#N/A</f>
        <v>550655.6</v>
      </c>
      <c r="F114" s="241">
        <f>#N/A</f>
        <v>545829.08</v>
      </c>
      <c r="G114" s="241">
        <f>#N/A</f>
        <v>-4826.520000000019</v>
      </c>
      <c r="H114" s="241">
        <f>#N/A</f>
        <v>99.12349570221387</v>
      </c>
      <c r="I114" s="35">
        <f>#N/A</f>
        <v>-677039.6100000002</v>
      </c>
      <c r="J114" s="35">
        <f>#N/A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>#N/A</f>
        <v>-4826.520000000019</v>
      </c>
      <c r="H115" s="241">
        <f>#N/A</f>
        <v>99.12349570221387</v>
      </c>
      <c r="I115" s="35">
        <f>#N/A</f>
        <v>-677039.6100000002</v>
      </c>
      <c r="J115" s="35">
        <f>#N/A</f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>#N/A</f>
        <v>-3734.029999999999</v>
      </c>
      <c r="H116" s="241">
        <f>#N/A</f>
        <v>95.0108160470321</v>
      </c>
      <c r="I116" s="35">
        <f>#N/A</f>
        <v>-240704.93000000002</v>
      </c>
      <c r="J116" s="35">
        <f>#N/A</f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>#N/A</f>
        <v>-707.6699999999837</v>
      </c>
      <c r="H117" s="241">
        <f>#N/A</f>
        <v>99.80061079304002</v>
      </c>
      <c r="I117" s="35">
        <f>#N/A</f>
        <v>-54436.96000000002</v>
      </c>
      <c r="J117" s="35">
        <f>#N/A</f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>#N/A</f>
        <v>-16.159999999999997</v>
      </c>
      <c r="H118" s="241">
        <f>#N/A</f>
        <v>71.64912280701755</v>
      </c>
      <c r="I118" s="35">
        <f>#N/A</f>
        <v>-186.85999999999999</v>
      </c>
      <c r="J118" s="35">
        <f>#N/A</f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>#N/A</f>
        <v>0</v>
      </c>
      <c r="H119" s="241">
        <f>#N/A</f>
        <v>100</v>
      </c>
      <c r="I119" s="35">
        <f>#N/A</f>
        <v>-187142.9</v>
      </c>
      <c r="J119" s="35">
        <f>#N/A</f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>#N/A</f>
        <v>0</v>
      </c>
      <c r="H120" s="241">
        <f>#N/A</f>
        <v>100</v>
      </c>
      <c r="I120" s="35">
        <f>#N/A</f>
        <v>-178707.6</v>
      </c>
      <c r="J120" s="35">
        <f>#N/A</f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>#N/A</f>
        <v>-460.1399999999999</v>
      </c>
      <c r="H121" s="241">
        <f>#N/A</f>
        <v>89.02806292160552</v>
      </c>
      <c r="I121" s="35">
        <f>#N/A</f>
        <v>-12505.44</v>
      </c>
      <c r="J121" s="35">
        <f>#N/A</f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>#N/A</f>
        <v>165.7</v>
      </c>
      <c r="H122" s="241">
        <f>#N/A</f>
        <v>0</v>
      </c>
      <c r="I122" s="35">
        <f>#N/A</f>
        <v>165.7</v>
      </c>
      <c r="J122" s="35" t="e">
        <f>#N/A</f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>#N/A</f>
        <v>-74.22000000000003</v>
      </c>
      <c r="H123" s="241">
        <f>#N/A</f>
        <v>91.84305967688756</v>
      </c>
      <c r="I123" s="35">
        <f>#N/A</f>
        <v>-3520.6200000000003</v>
      </c>
      <c r="J123" s="35">
        <f>#N/A</f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>#N/A</f>
        <v>-23049.190000000177</v>
      </c>
      <c r="H124" s="274">
        <f>#N/A</f>
        <v>97.96326819055847</v>
      </c>
      <c r="I124" s="276">
        <f>#N/A</f>
        <v>-1789797.9700000002</v>
      </c>
      <c r="J124" s="276">
        <f>#N/A</f>
        <v>38.24927114529452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32" t="s">
        <v>183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85"/>
      <c r="S1" s="85"/>
      <c r="T1" s="85"/>
      <c r="U1" s="86"/>
    </row>
    <row r="2" spans="2:21" s="1" customFormat="1" ht="15.75" customHeight="1">
      <c r="B2" s="333"/>
      <c r="C2" s="333"/>
      <c r="D2" s="33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34"/>
      <c r="B3" s="336"/>
      <c r="C3" s="337" t="s">
        <v>0</v>
      </c>
      <c r="D3" s="338" t="s">
        <v>137</v>
      </c>
      <c r="E3" s="31"/>
      <c r="F3" s="339" t="s">
        <v>26</v>
      </c>
      <c r="G3" s="340"/>
      <c r="H3" s="340"/>
      <c r="I3" s="340"/>
      <c r="J3" s="341"/>
      <c r="K3" s="82"/>
      <c r="L3" s="82"/>
      <c r="M3" s="82"/>
      <c r="N3" s="342" t="s">
        <v>178</v>
      </c>
      <c r="O3" s="343" t="s">
        <v>177</v>
      </c>
      <c r="P3" s="343"/>
      <c r="Q3" s="343"/>
      <c r="R3" s="343"/>
      <c r="S3" s="343"/>
      <c r="T3" s="343"/>
      <c r="U3" s="343"/>
    </row>
    <row r="4" spans="1:21" ht="22.5" customHeight="1">
      <c r="A4" s="334"/>
      <c r="B4" s="336"/>
      <c r="C4" s="337"/>
      <c r="D4" s="338"/>
      <c r="E4" s="344" t="s">
        <v>174</v>
      </c>
      <c r="F4" s="326" t="s">
        <v>33</v>
      </c>
      <c r="G4" s="317" t="s">
        <v>175</v>
      </c>
      <c r="H4" s="328" t="s">
        <v>176</v>
      </c>
      <c r="I4" s="317" t="s">
        <v>125</v>
      </c>
      <c r="J4" s="328" t="s">
        <v>126</v>
      </c>
      <c r="K4" s="84" t="s">
        <v>128</v>
      </c>
      <c r="L4" s="202" t="s">
        <v>111</v>
      </c>
      <c r="M4" s="89" t="s">
        <v>63</v>
      </c>
      <c r="N4" s="328"/>
      <c r="O4" s="330" t="s">
        <v>184</v>
      </c>
      <c r="P4" s="317" t="s">
        <v>49</v>
      </c>
      <c r="Q4" s="319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35"/>
      <c r="B5" s="336"/>
      <c r="C5" s="337"/>
      <c r="D5" s="338"/>
      <c r="E5" s="345"/>
      <c r="F5" s="327"/>
      <c r="G5" s="318"/>
      <c r="H5" s="329"/>
      <c r="I5" s="318"/>
      <c r="J5" s="329"/>
      <c r="K5" s="320" t="s">
        <v>179</v>
      </c>
      <c r="L5" s="321"/>
      <c r="M5" s="322"/>
      <c r="N5" s="329"/>
      <c r="O5" s="331"/>
      <c r="P5" s="318"/>
      <c r="Q5" s="319"/>
      <c r="R5" s="323" t="s">
        <v>180</v>
      </c>
      <c r="S5" s="324"/>
      <c r="T5" s="348" t="s">
        <v>181</v>
      </c>
      <c r="U5" s="348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>#N/A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>#N/A</f>
        <v>106181.636</v>
      </c>
      <c r="M8" s="203">
        <f>#N/A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>#N/A</f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>#N/A</f>
        <v>65058.302000000025</v>
      </c>
      <c r="M9" s="204">
        <f>#N/A</f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>#N/A</f>
        <v>4229.859999999986</v>
      </c>
      <c r="H10" s="29">
        <f>#N/A</f>
        <v>102.11349282487907</v>
      </c>
      <c r="I10" s="103">
        <f>#N/A</f>
        <v>-496951.14</v>
      </c>
      <c r="J10" s="103">
        <f>#N/A</f>
        <v>29.14029746890493</v>
      </c>
      <c r="K10" s="105">
        <v>137815.99</v>
      </c>
      <c r="L10" s="105">
        <f>#N/A</f>
        <v>66549.87</v>
      </c>
      <c r="M10" s="205">
        <f>#N/A</f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>#N/A</f>
        <v>2426.4899999999907</v>
      </c>
      <c r="Q10" s="103">
        <f>#N/A</f>
        <v>104.52500745934654</v>
      </c>
      <c r="R10" s="36"/>
      <c r="S10" s="99">
        <f>#N/A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>#N/A</f>
        <v>-2270.8500000000004</v>
      </c>
      <c r="H11" s="29">
        <f>#N/A</f>
        <v>84.55204081632652</v>
      </c>
      <c r="I11" s="103">
        <f>#N/A</f>
        <v>-34076.85</v>
      </c>
      <c r="J11" s="103">
        <f>#N/A</f>
        <v>26.725906334666494</v>
      </c>
      <c r="K11" s="105">
        <v>11487.54</v>
      </c>
      <c r="L11" s="105">
        <f>#N/A</f>
        <v>941.6099999999988</v>
      </c>
      <c r="M11" s="205">
        <f>#N/A</f>
        <v>1.081967940916854</v>
      </c>
      <c r="N11" s="104">
        <f>E11-березень!E11</f>
        <v>3900</v>
      </c>
      <c r="O11" s="142">
        <f>F11-березень!F11</f>
        <v>3324.67</v>
      </c>
      <c r="P11" s="105">
        <f>#N/A</f>
        <v>-575.3299999999999</v>
      </c>
      <c r="Q11" s="103">
        <f>#N/A</f>
        <v>85.24794871794872</v>
      </c>
      <c r="R11" s="36"/>
      <c r="S11" s="99">
        <f>#N/A</f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>#N/A</f>
        <v>269.59000000000015</v>
      </c>
      <c r="H12" s="29">
        <f>#N/A</f>
        <v>111.52094017094018</v>
      </c>
      <c r="I12" s="103">
        <f>#N/A</f>
        <v>-5670.41</v>
      </c>
      <c r="J12" s="103">
        <f>#N/A</f>
        <v>31.51678743961353</v>
      </c>
      <c r="K12" s="105">
        <v>4096.43</v>
      </c>
      <c r="L12" s="105">
        <f>#N/A</f>
        <v>-1486.8400000000001</v>
      </c>
      <c r="M12" s="205">
        <f>#N/A</f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>#N/A</f>
        <v>244.9000000000001</v>
      </c>
      <c r="Q12" s="103">
        <f>#N/A</f>
        <v>140.8166666666667</v>
      </c>
      <c r="R12" s="36"/>
      <c r="S12" s="99">
        <f>#N/A</f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>#N/A</f>
        <v>-90.67000000000007</v>
      </c>
      <c r="H13" s="29">
        <f>#N/A</f>
        <v>97.25242424242424</v>
      </c>
      <c r="I13" s="103">
        <f>#N/A</f>
        <v>-6180.67</v>
      </c>
      <c r="J13" s="103">
        <f>#N/A</f>
        <v>34.17816826411075</v>
      </c>
      <c r="K13" s="105">
        <v>3211.48</v>
      </c>
      <c r="L13" s="105">
        <f>#N/A</f>
        <v>-2.150000000000091</v>
      </c>
      <c r="M13" s="205">
        <f>#N/A</f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>#N/A</f>
        <v>-199.82999999999993</v>
      </c>
      <c r="Q13" s="103">
        <f>#N/A</f>
        <v>74.38076923076923</v>
      </c>
      <c r="R13" s="36"/>
      <c r="S13" s="99">
        <f>#N/A</f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>#N/A</f>
        <v>98.17000000000002</v>
      </c>
      <c r="H14" s="29">
        <f>#N/A</f>
        <v>125.56510416666666</v>
      </c>
      <c r="I14" s="103">
        <f>#N/A</f>
        <v>-669.8299999999999</v>
      </c>
      <c r="J14" s="103">
        <f>#N/A</f>
        <v>41.85503472222222</v>
      </c>
      <c r="K14" s="105">
        <v>1426.36</v>
      </c>
      <c r="L14" s="105">
        <f>#N/A</f>
        <v>-944.1899999999998</v>
      </c>
      <c r="M14" s="205">
        <f>#N/A</f>
        <v>0.33804228946409043</v>
      </c>
      <c r="N14" s="104">
        <f>E14-березень!E14</f>
        <v>96</v>
      </c>
      <c r="O14" s="142">
        <f>F14-березень!F14</f>
        <v>108.5</v>
      </c>
      <c r="P14" s="105">
        <f>#N/A</f>
        <v>12.5</v>
      </c>
      <c r="Q14" s="103">
        <f>#N/A</f>
        <v>113.02083333333333</v>
      </c>
      <c r="R14" s="36"/>
      <c r="S14" s="99">
        <f>#N/A</f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>#N/A</f>
        <v>-487.36</v>
      </c>
      <c r="H15" s="155">
        <f>F15/E15*100</f>
        <v>-185.00584795321637</v>
      </c>
      <c r="I15" s="156">
        <f>#N/A</f>
        <v>-867.36</v>
      </c>
      <c r="J15" s="156">
        <f>F15/D15*100</f>
        <v>-57.415607985480946</v>
      </c>
      <c r="K15" s="159">
        <v>185.84</v>
      </c>
      <c r="L15" s="159">
        <f>#N/A</f>
        <v>-502.20000000000005</v>
      </c>
      <c r="M15" s="206">
        <f>#N/A</f>
        <v>-1.7023245802841154</v>
      </c>
      <c r="N15" s="162">
        <f>E15-березень!E15</f>
        <v>0</v>
      </c>
      <c r="O15" s="166">
        <f>F15-березень!F15</f>
        <v>50.06</v>
      </c>
      <c r="P15" s="159">
        <f>#N/A</f>
        <v>50.06</v>
      </c>
      <c r="Q15" s="156"/>
      <c r="R15" s="36">
        <v>46</v>
      </c>
      <c r="S15" s="99">
        <f>#N/A</f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>#N/A</f>
        <v>0</v>
      </c>
      <c r="H16" s="155" t="e">
        <f>F16/E16/100</f>
        <v>#DIV/0!</v>
      </c>
      <c r="I16" s="36">
        <f>#N/A</f>
        <v>0</v>
      </c>
      <c r="J16" s="36" t="e">
        <f>#N/A</f>
        <v>#DIV/0!</v>
      </c>
      <c r="K16" s="105">
        <v>381.9</v>
      </c>
      <c r="L16" s="159">
        <f>#N/A</f>
        <v>-381.9</v>
      </c>
      <c r="M16" s="206">
        <f>#N/A</f>
        <v>0</v>
      </c>
      <c r="N16" s="162">
        <f>E16-березень!E16</f>
        <v>0</v>
      </c>
      <c r="O16" s="166">
        <f>F16-березень!F16</f>
        <v>0</v>
      </c>
      <c r="P16" s="35">
        <f>#N/A</f>
        <v>0</v>
      </c>
      <c r="Q16" s="156" t="e">
        <f>#N/A</f>
        <v>#DIV/0!</v>
      </c>
      <c r="R16" s="103">
        <f>O16-358.81</f>
        <v>-358.81</v>
      </c>
      <c r="S16" s="99">
        <f>#N/A</f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>#N/A</f>
        <v>0</v>
      </c>
      <c r="H17" s="155" t="e">
        <f>F17/E17/100</f>
        <v>#DIV/0!</v>
      </c>
      <c r="I17" s="163">
        <f>#N/A</f>
        <v>0</v>
      </c>
      <c r="J17" s="163"/>
      <c r="K17" s="165">
        <v>0.14</v>
      </c>
      <c r="L17" s="159">
        <f>#N/A</f>
        <v>-0.14</v>
      </c>
      <c r="M17" s="206">
        <f>#N/A</f>
        <v>0</v>
      </c>
      <c r="N17" s="162">
        <f>E17-березень!E17</f>
        <v>0</v>
      </c>
      <c r="O17" s="166">
        <f>F17-березень!F17</f>
        <v>0</v>
      </c>
      <c r="P17" s="165">
        <f>#N/A</f>
        <v>0</v>
      </c>
      <c r="Q17" s="156" t="e">
        <f>#N/A</f>
        <v>#DIV/0!</v>
      </c>
      <c r="R17" s="103"/>
      <c r="S17" s="99">
        <f>#N/A</f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>#N/A</f>
        <v>48.459999999999994</v>
      </c>
      <c r="H18" s="155">
        <f>F18/E18*100</f>
        <v>169.22857142857143</v>
      </c>
      <c r="I18" s="156">
        <f>#N/A</f>
        <v>-6.540000000000006</v>
      </c>
      <c r="J18" s="156">
        <f>#N/A</f>
        <v>94.768</v>
      </c>
      <c r="K18" s="159">
        <v>105.8</v>
      </c>
      <c r="L18" s="159">
        <f>#N/A</f>
        <v>12.659999999999997</v>
      </c>
      <c r="M18" s="206">
        <f>#N/A</f>
        <v>1.1196597353497164</v>
      </c>
      <c r="N18" s="162">
        <f>E18-березень!E18</f>
        <v>0</v>
      </c>
      <c r="O18" s="166">
        <f>F18-березень!F18</f>
        <v>0</v>
      </c>
      <c r="P18" s="159">
        <f>#N/A</f>
        <v>0</v>
      </c>
      <c r="Q18" s="156"/>
      <c r="R18" s="36">
        <v>0</v>
      </c>
      <c r="S18" s="99">
        <f>#N/A</f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>#N/A</f>
        <v>-1795.2359999999971</v>
      </c>
      <c r="H19" s="162">
        <f>#N/A</f>
        <v>95.26322955145119</v>
      </c>
      <c r="I19" s="163">
        <f>#N/A</f>
        <v>-93895.236</v>
      </c>
      <c r="J19" s="163">
        <f>#N/A</f>
        <v>27.77289538461539</v>
      </c>
      <c r="K19" s="159">
        <v>26018.63</v>
      </c>
      <c r="L19" s="165">
        <f>#N/A</f>
        <v>10086.134000000002</v>
      </c>
      <c r="M19" s="211">
        <f>#N/A</f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>#N/A</f>
        <v>-1629.0959999999977</v>
      </c>
      <c r="Q19" s="163">
        <f>#N/A</f>
        <v>83.87033663366338</v>
      </c>
      <c r="R19" s="36">
        <v>8000</v>
      </c>
      <c r="S19" s="99">
        <f>#N/A</f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>#N/A</f>
        <v>-1920.4199999999983</v>
      </c>
      <c r="H20" s="193">
        <f>#N/A</f>
        <v>91.96476987447699</v>
      </c>
      <c r="I20" s="251">
        <f>#N/A</f>
        <v>-54520.42</v>
      </c>
      <c r="J20" s="251">
        <f>#N/A</f>
        <v>28.73147712418301</v>
      </c>
      <c r="K20" s="252">
        <v>26018.6</v>
      </c>
      <c r="L20" s="164">
        <f>#N/A</f>
        <v>-4039.019999999997</v>
      </c>
      <c r="M20" s="253">
        <f>#N/A</f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>#N/A</f>
        <v>8145.52</v>
      </c>
      <c r="Q20" s="251">
        <f>#N/A</f>
        <v>-108.85948717948719</v>
      </c>
      <c r="R20" s="106">
        <v>4300</v>
      </c>
      <c r="S20" s="99">
        <f>#N/A</f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>#N/A</f>
        <v>118.94000000000005</v>
      </c>
      <c r="H21" s="193"/>
      <c r="I21" s="251">
        <f>#N/A</f>
        <v>-7581.0599999999995</v>
      </c>
      <c r="J21" s="251">
        <f>#N/A</f>
        <v>29.14897196261682</v>
      </c>
      <c r="K21" s="252">
        <v>0</v>
      </c>
      <c r="L21" s="164">
        <f>#N/A</f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>#N/A</f>
        <v>-2117.85</v>
      </c>
      <c r="Q21" s="251"/>
      <c r="R21" s="106">
        <v>700</v>
      </c>
      <c r="S21" s="99">
        <f>#N/A</f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>#N/A</f>
        <v>6.239999999999782</v>
      </c>
      <c r="H22" s="193"/>
      <c r="I22" s="251">
        <f>#N/A</f>
        <v>-31793.760000000002</v>
      </c>
      <c r="J22" s="251">
        <f>#N/A</f>
        <v>25.715514018691586</v>
      </c>
      <c r="K22" s="252">
        <v>0</v>
      </c>
      <c r="L22" s="164">
        <f>#N/A</f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>#N/A</f>
        <v>-7656.77</v>
      </c>
      <c r="Q22" s="251"/>
      <c r="R22" s="106">
        <v>3000</v>
      </c>
      <c r="S22" s="99">
        <f>#N/A</f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>#N/A</f>
        <v>2332.789999999979</v>
      </c>
      <c r="H23" s="155">
        <f>#N/A</f>
        <v>101.67854997067849</v>
      </c>
      <c r="I23" s="156">
        <f>#N/A</f>
        <v>-259820.81</v>
      </c>
      <c r="J23" s="156">
        <f>#N/A</f>
        <v>35.22779517169118</v>
      </c>
      <c r="K23" s="156">
        <v>109782.5</v>
      </c>
      <c r="L23" s="159">
        <f>#N/A</f>
        <v>31526.78999999998</v>
      </c>
      <c r="M23" s="207">
        <f>#N/A</f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>#N/A</f>
        <v>998.7299999999814</v>
      </c>
      <c r="Q23" s="156">
        <f>#N/A</f>
        <v>102.74844515383342</v>
      </c>
      <c r="R23" s="280">
        <f>R24+R32+R33+R34+R35</f>
        <v>35614</v>
      </c>
      <c r="S23" s="99">
        <f>#N/A</f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>#N/A</f>
        <v>333.1900000000023</v>
      </c>
      <c r="H24" s="155">
        <f>#N/A</f>
        <v>100.49475972546841</v>
      </c>
      <c r="I24" s="156">
        <f>#N/A</f>
        <v>-138944.01</v>
      </c>
      <c r="J24" s="156">
        <f>#N/A</f>
        <v>32.754168259760625</v>
      </c>
      <c r="K24" s="156">
        <v>58036.24</v>
      </c>
      <c r="L24" s="159">
        <f>#N/A</f>
        <v>9640.750000000007</v>
      </c>
      <c r="M24" s="207">
        <f>#N/A</f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>#N/A</f>
        <v>-389.36999999999534</v>
      </c>
      <c r="Q24" s="156">
        <f>#N/A</f>
        <v>98.00353791724352</v>
      </c>
      <c r="R24" s="106">
        <f>R25+R28+R29</f>
        <v>18772</v>
      </c>
      <c r="S24" s="99">
        <f>#N/A</f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>#N/A</f>
        <v>416.3099999999995</v>
      </c>
      <c r="H25" s="171">
        <f>#N/A</f>
        <v>104.4620578778135</v>
      </c>
      <c r="I25" s="172">
        <f>#N/A</f>
        <v>-13062.69</v>
      </c>
      <c r="J25" s="172">
        <f>#N/A</f>
        <v>42.73010653689333</v>
      </c>
      <c r="K25" s="173">
        <v>8413.21</v>
      </c>
      <c r="L25" s="164">
        <f>#N/A</f>
        <v>1333.1000000000004</v>
      </c>
      <c r="M25" s="213">
        <f>#N/A</f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>#N/A</f>
        <v>152.3699999999999</v>
      </c>
      <c r="Q25" s="172">
        <f>#N/A</f>
        <v>103.47876712328767</v>
      </c>
      <c r="R25" s="106">
        <v>3710</v>
      </c>
      <c r="S25" s="99">
        <f>#N/A</f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>#N/A</f>
        <v>-349.76</v>
      </c>
      <c r="H26" s="197">
        <f>#N/A</f>
        <v>36.407272727272726</v>
      </c>
      <c r="I26" s="198">
        <f>#N/A</f>
        <v>-1622.06</v>
      </c>
      <c r="J26" s="198">
        <f>#N/A</f>
        <v>10.988311474510235</v>
      </c>
      <c r="K26" s="198">
        <v>252.55</v>
      </c>
      <c r="L26" s="198">
        <f>#N/A</f>
        <v>-52.31</v>
      </c>
      <c r="M26" s="226">
        <f>#N/A</f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>#N/A</f>
        <v>-256.83</v>
      </c>
      <c r="Q26" s="198">
        <f>#N/A</f>
        <v>14.390000000000006</v>
      </c>
      <c r="R26" s="106"/>
      <c r="S26" s="99">
        <f>#N/A</f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>#N/A</f>
        <v>766.0699999999997</v>
      </c>
      <c r="H27" s="197">
        <f>#N/A</f>
        <v>108.72517084282461</v>
      </c>
      <c r="I27" s="198">
        <f>#N/A</f>
        <v>-11440.630000000001</v>
      </c>
      <c r="J27" s="198">
        <f>#N/A</f>
        <v>45.48628417045081</v>
      </c>
      <c r="K27" s="198">
        <v>8160.66</v>
      </c>
      <c r="L27" s="198">
        <f>#N/A</f>
        <v>1385.4099999999999</v>
      </c>
      <c r="M27" s="226">
        <f>#N/A</f>
        <v>1.1697669061080844</v>
      </c>
      <c r="N27" s="234">
        <f>E27-березень!E27</f>
        <v>4080</v>
      </c>
      <c r="O27" s="234">
        <f>F27-березень!F27</f>
        <v>4489.2</v>
      </c>
      <c r="P27" s="198">
        <f>#N/A</f>
        <v>409.1999999999998</v>
      </c>
      <c r="Q27" s="198">
        <f>#N/A</f>
        <v>110.02941176470588</v>
      </c>
      <c r="R27" s="106"/>
      <c r="S27" s="99">
        <f>#N/A</f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>#N/A</f>
        <v>-19.28</v>
      </c>
      <c r="H28" s="171">
        <f>#N/A</f>
        <v>84.42649434571891</v>
      </c>
      <c r="I28" s="172">
        <f>#N/A</f>
        <v>-715.48</v>
      </c>
      <c r="J28" s="172">
        <f>#N/A</f>
        <v>12.746341463414634</v>
      </c>
      <c r="K28" s="172">
        <v>386.58</v>
      </c>
      <c r="L28" s="172">
        <f>#N/A</f>
        <v>-282.06</v>
      </c>
      <c r="M28" s="210">
        <f>#N/A</f>
        <v>0.27037094521185784</v>
      </c>
      <c r="N28" s="193">
        <f>E28-березень!E28</f>
        <v>68</v>
      </c>
      <c r="O28" s="177">
        <f>F28-березень!F28</f>
        <v>73.27</v>
      </c>
      <c r="P28" s="175">
        <f>#N/A</f>
        <v>5.269999999999996</v>
      </c>
      <c r="Q28" s="172">
        <f>O28/N28*100</f>
        <v>107.74999999999999</v>
      </c>
      <c r="R28" s="106">
        <v>7</v>
      </c>
      <c r="S28" s="99">
        <f>#N/A</f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>#N/A</f>
        <v>-63.83999999999651</v>
      </c>
      <c r="H29" s="171">
        <f>#N/A</f>
        <v>99.88972188633616</v>
      </c>
      <c r="I29" s="172">
        <f>#N/A</f>
        <v>-125165.84</v>
      </c>
      <c r="J29" s="172">
        <f>#N/A</f>
        <v>31.60037597272012</v>
      </c>
      <c r="K29" s="173">
        <v>49236.46</v>
      </c>
      <c r="L29" s="173">
        <f>#N/A</f>
        <v>8589.700000000004</v>
      </c>
      <c r="M29" s="209">
        <f>#N/A</f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>#N/A</f>
        <v>-547.0099999999948</v>
      </c>
      <c r="Q29" s="172">
        <f>O29/N29*100</f>
        <v>96.36658917303225</v>
      </c>
      <c r="R29" s="106">
        <v>15055</v>
      </c>
      <c r="S29" s="99">
        <f>#N/A</f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>#N/A</f>
        <v>1874.5299999999988</v>
      </c>
      <c r="H30" s="197">
        <f>#N/A</f>
        <v>110.75461847389559</v>
      </c>
      <c r="I30" s="198">
        <f>#N/A</f>
        <v>-38228.47</v>
      </c>
      <c r="J30" s="198">
        <f>#N/A</f>
        <v>33.55383866650444</v>
      </c>
      <c r="K30" s="198">
        <v>15205.9</v>
      </c>
      <c r="L30" s="198">
        <f>#N/A</f>
        <v>4098.629999999999</v>
      </c>
      <c r="M30" s="226">
        <f>#N/A</f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>#N/A</f>
        <v>269.0899999999983</v>
      </c>
      <c r="Q30" s="198">
        <f>O30/N30*100</f>
        <v>105.84978260869562</v>
      </c>
      <c r="R30" s="106"/>
      <c r="S30" s="99">
        <f>#N/A</f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>#N/A</f>
        <v>-1938.3700000000026</v>
      </c>
      <c r="H31" s="197">
        <f>#N/A</f>
        <v>95.209169550173</v>
      </c>
      <c r="I31" s="198">
        <f>#N/A</f>
        <v>-86937.37</v>
      </c>
      <c r="J31" s="198">
        <f>#N/A</f>
        <v>30.704556867183697</v>
      </c>
      <c r="K31" s="198">
        <v>34030.56</v>
      </c>
      <c r="L31" s="198">
        <f>#N/A</f>
        <v>4491.07</v>
      </c>
      <c r="M31" s="226">
        <f>#N/A</f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>#N/A</f>
        <v>-816.1000000000022</v>
      </c>
      <c r="Q31" s="198">
        <f>O31/N31*100</f>
        <v>92.19416547106646</v>
      </c>
      <c r="R31" s="106"/>
      <c r="S31" s="99">
        <f>#N/A</f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>#N/A</f>
        <v>0.2</v>
      </c>
      <c r="H32" s="155"/>
      <c r="I32" s="156">
        <f>#N/A</f>
        <v>0.2</v>
      </c>
      <c r="J32" s="156"/>
      <c r="K32" s="165">
        <v>0</v>
      </c>
      <c r="L32" s="156">
        <f>#N/A</f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>#N/A</f>
        <v>0</v>
      </c>
      <c r="Q32" s="156"/>
      <c r="R32" s="106"/>
      <c r="S32" s="99">
        <f>#N/A</f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>#N/A</f>
        <v>25.409999999999997</v>
      </c>
      <c r="H33" s="155">
        <f>#N/A</f>
        <v>194.11111111111111</v>
      </c>
      <c r="I33" s="156">
        <f>#N/A</f>
        <v>-62.59</v>
      </c>
      <c r="J33" s="156">
        <f>#N/A</f>
        <v>45.57391304347826</v>
      </c>
      <c r="K33" s="156">
        <v>32.71</v>
      </c>
      <c r="L33" s="156">
        <f>#N/A</f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>#N/A</f>
        <v>7.209999999999994</v>
      </c>
      <c r="Q33" s="156">
        <f>O33/N33*100</f>
        <v>190.12499999999991</v>
      </c>
      <c r="R33" s="106">
        <v>15</v>
      </c>
      <c r="S33" s="99">
        <f>#N/A</f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>#N/A</f>
        <v>-27.35</v>
      </c>
      <c r="H34" s="155"/>
      <c r="I34" s="156">
        <f>#N/A</f>
        <v>-27.35</v>
      </c>
      <c r="J34" s="156"/>
      <c r="K34" s="156">
        <v>-107.01</v>
      </c>
      <c r="L34" s="156">
        <f>#N/A</f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>#N/A</f>
        <v>-2.530000000000001</v>
      </c>
      <c r="Q34" s="156"/>
      <c r="R34" s="106"/>
      <c r="S34" s="99">
        <f>#N/A</f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>#N/A</f>
        <v>2001.3399999999965</v>
      </c>
      <c r="H35" s="162">
        <f>#N/A</f>
        <v>102.79494509515304</v>
      </c>
      <c r="I35" s="163">
        <f>#N/A</f>
        <v>-120787.06000000001</v>
      </c>
      <c r="J35" s="163">
        <f>#N/A</f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>#N/A</f>
        <v>1383.419999999991</v>
      </c>
      <c r="Q35" s="163">
        <f>O35/N35*100</f>
        <v>108.22142984489209</v>
      </c>
      <c r="R35" s="106">
        <v>16827</v>
      </c>
      <c r="S35" s="99">
        <f>#N/A</f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>#N/A</f>
        <v>0</v>
      </c>
      <c r="H36" s="104"/>
      <c r="I36" s="103">
        <f>#N/A</f>
        <v>0</v>
      </c>
      <c r="J36" s="103"/>
      <c r="K36" s="126">
        <v>0.18</v>
      </c>
      <c r="L36" s="126">
        <f>#N/A</f>
        <v>-0.18</v>
      </c>
      <c r="M36" s="214">
        <f>#N/A</f>
        <v>0</v>
      </c>
      <c r="N36" s="104">
        <f>E36-березень!E36</f>
        <v>0</v>
      </c>
      <c r="O36" s="142">
        <f>F36-березень!F36</f>
        <v>0</v>
      </c>
      <c r="P36" s="105">
        <f>#N/A</f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>#N/A</f>
        <v>778.4200000000001</v>
      </c>
      <c r="H37" s="104">
        <f>#N/A</f>
        <v>105.88819969742813</v>
      </c>
      <c r="I37" s="103">
        <f>#N/A</f>
        <v>-27001.58</v>
      </c>
      <c r="J37" s="103">
        <f>#N/A</f>
        <v>34.142487804878044</v>
      </c>
      <c r="K37" s="126">
        <v>12484.76</v>
      </c>
      <c r="L37" s="126">
        <f>#N/A</f>
        <v>1513.6599999999999</v>
      </c>
      <c r="M37" s="214">
        <f>#N/A</f>
        <v>1.1212406165597095</v>
      </c>
      <c r="N37" s="104">
        <f>E37-березень!E37</f>
        <v>2820</v>
      </c>
      <c r="O37" s="142">
        <f>F37-березень!F37</f>
        <v>3050.5</v>
      </c>
      <c r="P37" s="105">
        <f>#N/A</f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>#N/A</f>
        <v>1225.5199999999968</v>
      </c>
      <c r="H38" s="104">
        <f>#N/A</f>
        <v>102.09993145990404</v>
      </c>
      <c r="I38" s="103">
        <f>#N/A</f>
        <v>-93753.58000000002</v>
      </c>
      <c r="J38" s="103">
        <f>#N/A</f>
        <v>38.85866031560117</v>
      </c>
      <c r="K38" s="126">
        <v>39321.61</v>
      </c>
      <c r="L38" s="126">
        <f>#N/A</f>
        <v>20263.909999999996</v>
      </c>
      <c r="M38" s="214">
        <f>#N/A</f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>#N/A</f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>#N/A</f>
        <v>-2.6099999999999994</v>
      </c>
      <c r="H39" s="104">
        <f>#N/A</f>
        <v>89.8443579766537</v>
      </c>
      <c r="I39" s="103">
        <f>#N/A</f>
        <v>-31.91</v>
      </c>
      <c r="J39" s="103">
        <f>#N/A</f>
        <v>41.981818181818184</v>
      </c>
      <c r="K39" s="126">
        <v>14.01</v>
      </c>
      <c r="L39" s="126">
        <f>#N/A</f>
        <v>9.08</v>
      </c>
      <c r="M39" s="214">
        <f>#N/A</f>
        <v>1.6481084939329051</v>
      </c>
      <c r="N39" s="104">
        <f>E39-березень!E39</f>
        <v>7</v>
      </c>
      <c r="O39" s="142">
        <f>F39-березень!F39</f>
        <v>6.98</v>
      </c>
      <c r="P39" s="105">
        <f>#N/A</f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>#N/A</f>
        <v>0</v>
      </c>
      <c r="H40" s="29"/>
      <c r="I40" s="36">
        <f>#N/A</f>
        <v>0</v>
      </c>
      <c r="J40" s="36"/>
      <c r="K40" s="118">
        <v>0</v>
      </c>
      <c r="L40" s="118">
        <f>#N/A</f>
        <v>0</v>
      </c>
      <c r="M40" s="215" t="e">
        <f>#N/A</f>
        <v>#DIV/0!</v>
      </c>
      <c r="N40" s="155">
        <f>E40-березень!E40</f>
        <v>0</v>
      </c>
      <c r="O40" s="158">
        <f>F40-березень!F40</f>
        <v>0</v>
      </c>
      <c r="P40" s="35">
        <f>#N/A</f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>#N/A</f>
        <v>2677.2660000000033</v>
      </c>
      <c r="M41" s="203">
        <f>#N/A</f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>#N/A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>#N/A</f>
        <v>-276.61</v>
      </c>
      <c r="M42" s="216">
        <f>#N/A</f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>#N/A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>#N/A</f>
        <v>-293.1369999999997</v>
      </c>
      <c r="H43" s="162">
        <f>#N/A</f>
        <v>96.38102469135804</v>
      </c>
      <c r="I43" s="163">
        <f>#N/A</f>
        <v>-22193.137</v>
      </c>
      <c r="J43" s="163">
        <f>F43/D43*100</f>
        <v>26.022876666666665</v>
      </c>
      <c r="K43" s="163">
        <v>6753.41</v>
      </c>
      <c r="L43" s="163">
        <f>#N/A</f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>#N/A</f>
        <v>305.02300000000014</v>
      </c>
      <c r="Q43" s="163">
        <f>#N/A</f>
        <v>110.89367857142858</v>
      </c>
      <c r="R43" s="36">
        <v>3105</v>
      </c>
      <c r="S43" s="36">
        <f>#N/A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>#N/A</f>
        <v>62.80200000000001</v>
      </c>
      <c r="H44" s="162">
        <f>F44/E44*100</f>
        <v>414.01000000000005</v>
      </c>
      <c r="I44" s="163">
        <f>#N/A</f>
        <v>42.80200000000001</v>
      </c>
      <c r="J44" s="163">
        <f>#N/A</f>
        <v>207.00500000000002</v>
      </c>
      <c r="K44" s="163">
        <v>27.51</v>
      </c>
      <c r="L44" s="163">
        <f>#N/A</f>
        <v>55.292</v>
      </c>
      <c r="M44" s="216">
        <f>#N/A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>#N/A</f>
        <v>9.722000000000008</v>
      </c>
      <c r="Q44" s="163">
        <f>#N/A</f>
        <v>1072.2000000000007</v>
      </c>
      <c r="R44" s="36">
        <v>1</v>
      </c>
      <c r="S44" s="36">
        <f>#N/A</f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>#N/A</f>
        <v>2.03</v>
      </c>
      <c r="H45" s="162" t="e">
        <f>F45/E45*100</f>
        <v>#DIV/0!</v>
      </c>
      <c r="I45" s="163">
        <f>#N/A</f>
        <v>2.03</v>
      </c>
      <c r="J45" s="163" t="e">
        <f>#N/A</f>
        <v>#DIV/0!</v>
      </c>
      <c r="K45" s="163">
        <v>0.1</v>
      </c>
      <c r="L45" s="163">
        <f>#N/A</f>
        <v>1.9299999999999997</v>
      </c>
      <c r="M45" s="216">
        <f>#N/A</f>
        <v>20.299999999999997</v>
      </c>
      <c r="N45" s="162">
        <f>E45-березень!E45</f>
        <v>0</v>
      </c>
      <c r="O45" s="166">
        <f>F45-березень!F45</f>
        <v>0</v>
      </c>
      <c r="P45" s="165">
        <f>#N/A</f>
        <v>0</v>
      </c>
      <c r="Q45" s="163" t="e">
        <f>#N/A</f>
        <v>#DIV/0!</v>
      </c>
      <c r="R45" s="36">
        <v>0</v>
      </c>
      <c r="S45" s="36">
        <f>#N/A</f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>#N/A</f>
        <v>310.483</v>
      </c>
      <c r="H46" s="162">
        <f>#N/A</f>
        <v>469.6226190476191</v>
      </c>
      <c r="I46" s="163">
        <f>#N/A</f>
        <v>134.483</v>
      </c>
      <c r="J46" s="163">
        <f>#N/A</f>
        <v>151.72423076923076</v>
      </c>
      <c r="K46" s="163">
        <v>34.2</v>
      </c>
      <c r="L46" s="163">
        <f>#N/A</f>
        <v>360.283</v>
      </c>
      <c r="M46" s="216">
        <f>#N/A</f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>#N/A</f>
        <v>94.72300000000001</v>
      </c>
      <c r="Q46" s="163">
        <f>#N/A</f>
        <v>530.559090909091</v>
      </c>
      <c r="R46" s="36">
        <v>22</v>
      </c>
      <c r="S46" s="36">
        <f>#N/A</f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>#N/A</f>
        <v>-32.99</v>
      </c>
      <c r="H47" s="162">
        <f>#N/A</f>
        <v>2.9705882352941178</v>
      </c>
      <c r="I47" s="163">
        <f>#N/A</f>
        <v>-96.49</v>
      </c>
      <c r="J47" s="163">
        <f>#N/A</f>
        <v>1.035897435897436</v>
      </c>
      <c r="K47" s="163">
        <v>6.8</v>
      </c>
      <c r="L47" s="163">
        <f>#N/A</f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>#N/A</f>
        <v>-6.300000000000001</v>
      </c>
      <c r="Q47" s="163">
        <f>#N/A</f>
        <v>7.352941176470587</v>
      </c>
      <c r="R47" s="36">
        <v>0</v>
      </c>
      <c r="S47" s="36">
        <f>#N/A</f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>#N/A</f>
        <v>53.47000000000003</v>
      </c>
      <c r="H48" s="162">
        <f>#N/A</f>
        <v>115.72647058823532</v>
      </c>
      <c r="I48" s="163">
        <f>#N/A</f>
        <v>-336.53</v>
      </c>
      <c r="J48" s="163">
        <f>#N/A</f>
        <v>53.900000000000006</v>
      </c>
      <c r="K48" s="163">
        <v>0</v>
      </c>
      <c r="L48" s="163">
        <f>#N/A</f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>#N/A</f>
        <v>32.52000000000004</v>
      </c>
      <c r="Q48" s="163">
        <f>#N/A</f>
        <v>154.20000000000007</v>
      </c>
      <c r="R48" s="36">
        <v>100</v>
      </c>
      <c r="S48" s="36">
        <f>#N/A</f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>#N/A</f>
        <v>0</v>
      </c>
      <c r="M49" s="216" t="e">
        <f>#N/A</f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>#N/A</f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>#N/A</f>
        <v>441.5100000000002</v>
      </c>
      <c r="H50" s="162">
        <f>#N/A</f>
        <v>110.41297169811321</v>
      </c>
      <c r="I50" s="163">
        <f>#N/A</f>
        <v>-6318.49</v>
      </c>
      <c r="J50" s="163">
        <f>#N/A</f>
        <v>42.55918181818182</v>
      </c>
      <c r="K50" s="163">
        <v>3201.41</v>
      </c>
      <c r="L50" s="163">
        <f>#N/A</f>
        <v>1480.1000000000004</v>
      </c>
      <c r="M50" s="216">
        <f>#N/A</f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>#N/A</f>
        <v>196.57000000000016</v>
      </c>
      <c r="Q50" s="163">
        <f>#N/A</f>
        <v>121.84111111111113</v>
      </c>
      <c r="R50" s="36">
        <v>1200</v>
      </c>
      <c r="S50" s="36">
        <f>#N/A</f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>#N/A</f>
        <v>75.37</v>
      </c>
      <c r="H51" s="162">
        <f>#N/A</f>
        <v>175.37</v>
      </c>
      <c r="I51" s="163">
        <f>#N/A</f>
        <v>-134.63</v>
      </c>
      <c r="J51" s="163">
        <f>#N/A</f>
        <v>56.57096774193548</v>
      </c>
      <c r="K51" s="163">
        <v>1.37</v>
      </c>
      <c r="L51" s="163">
        <f>#N/A</f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>#N/A</f>
        <v>15.170000000000016</v>
      </c>
      <c r="Q51" s="163">
        <f>#N/A</f>
        <v>160.68000000000006</v>
      </c>
      <c r="R51" s="36">
        <v>45</v>
      </c>
      <c r="S51" s="36">
        <f>#N/A</f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>#N/A</f>
        <v>7.359999999999999</v>
      </c>
      <c r="H52" s="162">
        <f>#N/A</f>
        <v>284</v>
      </c>
      <c r="I52" s="163">
        <f>#N/A</f>
        <v>-8.64</v>
      </c>
      <c r="J52" s="163">
        <f>#N/A</f>
        <v>56.8</v>
      </c>
      <c r="K52" s="163">
        <v>0</v>
      </c>
      <c r="L52" s="163">
        <f>#N/A</f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>#N/A</f>
        <v>6.359999999999999</v>
      </c>
      <c r="Q52" s="163">
        <f>#N/A</f>
        <v>736</v>
      </c>
      <c r="R52" s="36">
        <v>1</v>
      </c>
      <c r="S52" s="36">
        <f>#N/A</f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>#N/A</f>
        <v>-242.29799999999977</v>
      </c>
      <c r="H53" s="162">
        <f>#N/A</f>
        <v>90.0288888888889</v>
      </c>
      <c r="I53" s="163">
        <f>#N/A</f>
        <v>-5087.298</v>
      </c>
      <c r="J53" s="163">
        <f>#N/A</f>
        <v>30.071505154639176</v>
      </c>
      <c r="K53" s="163">
        <v>2631.35</v>
      </c>
      <c r="L53" s="163">
        <f>#N/A</f>
        <v>-443.6479999999997</v>
      </c>
      <c r="M53" s="216">
        <f>#N/A</f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>#N/A</f>
        <v>-47.38799999999969</v>
      </c>
      <c r="Q53" s="163">
        <f>#N/A</f>
        <v>92.23147540983612</v>
      </c>
      <c r="R53" s="36">
        <v>562.6</v>
      </c>
      <c r="S53" s="36">
        <f>#N/A</f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>#N/A</f>
        <v>-40.738</v>
      </c>
      <c r="H54" s="162">
        <f>#N/A</f>
        <v>87.65515151515152</v>
      </c>
      <c r="I54" s="163">
        <f>#N/A</f>
        <v>-910.738</v>
      </c>
      <c r="J54" s="163">
        <f>#N/A</f>
        <v>24.105166666666666</v>
      </c>
      <c r="K54" s="163">
        <v>1998.74</v>
      </c>
      <c r="L54" s="163">
        <f>#N/A</f>
        <v>-1709.478</v>
      </c>
      <c r="M54" s="216">
        <f>#N/A</f>
        <v>0.14472217497023124</v>
      </c>
      <c r="N54" s="162">
        <f>E54-березень!E54</f>
        <v>95</v>
      </c>
      <c r="O54" s="166">
        <f>F54-березень!F54</f>
        <v>43.262</v>
      </c>
      <c r="P54" s="165">
        <f>#N/A</f>
        <v>-51.738</v>
      </c>
      <c r="Q54" s="163">
        <f>#N/A</f>
        <v>45.53894736842105</v>
      </c>
      <c r="R54" s="36">
        <v>95</v>
      </c>
      <c r="S54" s="36">
        <f>#N/A</f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>#N/A</f>
        <v>-14.620000000000005</v>
      </c>
      <c r="H55" s="29">
        <f>#N/A</f>
        <v>94.58518518518518</v>
      </c>
      <c r="I55" s="103">
        <f>#N/A</f>
        <v>-742.62</v>
      </c>
      <c r="J55" s="103">
        <f>#N/A</f>
        <v>25.589178356713425</v>
      </c>
      <c r="K55" s="103">
        <v>235.42</v>
      </c>
      <c r="L55" s="103">
        <f>F55-K55</f>
        <v>19.960000000000008</v>
      </c>
      <c r="M55" s="108">
        <f>#N/A</f>
        <v>1.0847846402174837</v>
      </c>
      <c r="N55" s="104">
        <f>E55-березень!E55</f>
        <v>80</v>
      </c>
      <c r="O55" s="142">
        <f>F55-березень!F55</f>
        <v>34.44</v>
      </c>
      <c r="P55" s="105">
        <f>#N/A</f>
        <v>-45.56</v>
      </c>
      <c r="Q55" s="118">
        <f>#N/A</f>
        <v>43.05</v>
      </c>
      <c r="R55" s="36"/>
      <c r="S55" s="36">
        <f>#N/A</f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>#N/A</f>
        <v>0.12</v>
      </c>
      <c r="H56" s="29" t="e">
        <f>#N/A</f>
        <v>#DIV/0!</v>
      </c>
      <c r="I56" s="103">
        <f>#N/A</f>
        <v>-0.88</v>
      </c>
      <c r="J56" s="103">
        <f>#N/A</f>
        <v>12</v>
      </c>
      <c r="K56" s="103">
        <v>0.15</v>
      </c>
      <c r="L56" s="103">
        <f>F56-K56</f>
        <v>-0.03</v>
      </c>
      <c r="M56" s="108">
        <f>#N/A</f>
        <v>0.8</v>
      </c>
      <c r="N56" s="104">
        <f>E56-березень!E56</f>
        <v>0</v>
      </c>
      <c r="O56" s="142">
        <f>F56-березень!F56</f>
        <v>0.01999999999999999</v>
      </c>
      <c r="P56" s="105">
        <f>#N/A</f>
        <v>0.01999999999999999</v>
      </c>
      <c r="Q56" s="118" t="e">
        <f>#N/A</f>
        <v>#DIV/0!</v>
      </c>
      <c r="R56" s="36"/>
      <c r="S56" s="36">
        <f>#N/A</f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>#N/A</f>
        <v>0</v>
      </c>
      <c r="H57" s="29"/>
      <c r="I57" s="103">
        <f>#N/A</f>
        <v>-1</v>
      </c>
      <c r="J57" s="103">
        <f>#N/A</f>
        <v>0</v>
      </c>
      <c r="K57" s="103">
        <v>0</v>
      </c>
      <c r="L57" s="103">
        <f>F57-K57</f>
        <v>0</v>
      </c>
      <c r="M57" s="108" t="e">
        <f>#N/A</f>
        <v>#DIV/0!</v>
      </c>
      <c r="N57" s="104">
        <f>E57-березень!E57</f>
        <v>0</v>
      </c>
      <c r="O57" s="142">
        <f>F57-березень!F57</f>
        <v>0</v>
      </c>
      <c r="P57" s="105">
        <f>#N/A</f>
        <v>0</v>
      </c>
      <c r="Q57" s="118"/>
      <c r="R57" s="36"/>
      <c r="S57" s="36">
        <f>#N/A</f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>#N/A</f>
        <v>-26.229999999999997</v>
      </c>
      <c r="H58" s="29">
        <f>#N/A</f>
        <v>56.28333333333334</v>
      </c>
      <c r="I58" s="103">
        <f>#N/A</f>
        <v>-166.23</v>
      </c>
      <c r="J58" s="103">
        <f>#N/A</f>
        <v>16.885</v>
      </c>
      <c r="K58" s="103">
        <v>1763.16</v>
      </c>
      <c r="L58" s="103">
        <f>F58-K58</f>
        <v>-1729.39</v>
      </c>
      <c r="M58" s="108">
        <f>#N/A</f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>#N/A</f>
        <v>-6.189999999999998</v>
      </c>
      <c r="Q58" s="118">
        <f>#N/A</f>
        <v>58.73333333333335</v>
      </c>
      <c r="R58" s="36"/>
      <c r="S58" s="36">
        <f>#N/A</f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>#N/A</f>
        <v>-0.45999999999999996</v>
      </c>
      <c r="H59" s="162"/>
      <c r="I59" s="163">
        <f>#N/A</f>
        <v>-0.45999999999999996</v>
      </c>
      <c r="J59" s="163">
        <f>#N/A</f>
        <v>81.60000000000001</v>
      </c>
      <c r="K59" s="163">
        <v>2.46</v>
      </c>
      <c r="L59" s="163">
        <f>F59-K59</f>
        <v>-0.41999999999999993</v>
      </c>
      <c r="M59" s="216">
        <f>#N/A</f>
        <v>0.8292682926829269</v>
      </c>
      <c r="N59" s="162">
        <f>E59-березень!E59</f>
        <v>0</v>
      </c>
      <c r="O59" s="166">
        <f>F59-березень!F59</f>
        <v>0</v>
      </c>
      <c r="P59" s="165">
        <f>#N/A</f>
        <v>0</v>
      </c>
      <c r="Q59" s="163"/>
      <c r="R59" s="36">
        <v>0</v>
      </c>
      <c r="S59" s="36">
        <f>#N/A</f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>#N/A</f>
        <v>-123.78800000000001</v>
      </c>
      <c r="H60" s="162">
        <f>#N/A</f>
        <v>96.61781420765027</v>
      </c>
      <c r="I60" s="163">
        <f>#N/A</f>
        <v>-3813.788</v>
      </c>
      <c r="J60" s="163">
        <f>#N/A</f>
        <v>48.11172789115646</v>
      </c>
      <c r="K60" s="163">
        <v>1974.46</v>
      </c>
      <c r="L60" s="163">
        <f>#N/A</f>
        <v>1561.752</v>
      </c>
      <c r="M60" s="216">
        <f>#N/A</f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>#N/A</f>
        <v>-139.51800000000003</v>
      </c>
      <c r="Q60" s="163">
        <f>#N/A</f>
        <v>76.747</v>
      </c>
      <c r="R60" s="36">
        <v>450</v>
      </c>
      <c r="S60" s="36">
        <f>#N/A</f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>#N/A</f>
        <v>0</v>
      </c>
      <c r="H61" s="162" t="e">
        <f>#N/A</f>
        <v>#DIV/0!</v>
      </c>
      <c r="I61" s="163">
        <f>#N/A</f>
        <v>0</v>
      </c>
      <c r="J61" s="163" t="e">
        <f>#N/A</f>
        <v>#DIV/0!</v>
      </c>
      <c r="K61" s="163"/>
      <c r="L61" s="163">
        <f>#N/A</f>
        <v>0</v>
      </c>
      <c r="M61" s="216" t="e">
        <f>#N/A</f>
        <v>#DIV/0!</v>
      </c>
      <c r="N61" s="162">
        <f>E61-березень!E61</f>
        <v>0</v>
      </c>
      <c r="O61" s="166">
        <f>F61-лютий!F58</f>
        <v>0</v>
      </c>
      <c r="P61" s="165">
        <f>#N/A</f>
        <v>0</v>
      </c>
      <c r="Q61" s="163" t="e">
        <f>#N/A</f>
        <v>#DIV/0!</v>
      </c>
      <c r="R61" s="36"/>
      <c r="S61" s="36">
        <f>#N/A</f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>#N/A</f>
        <v>252.59000000000003</v>
      </c>
      <c r="M62" s="216">
        <f>#N/A</f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>#N/A</f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>#N/A</f>
        <v>0</v>
      </c>
      <c r="H63" s="162"/>
      <c r="I63" s="163">
        <f>#N/A</f>
        <v>0</v>
      </c>
      <c r="J63" s="163"/>
      <c r="K63" s="164"/>
      <c r="L63" s="163">
        <f>#N/A</f>
        <v>0</v>
      </c>
      <c r="M63" s="216" t="e">
        <f>#N/A</f>
        <v>#DIV/0!</v>
      </c>
      <c r="N63" s="162">
        <f>E63-лютий!E60</f>
        <v>0</v>
      </c>
      <c r="O63" s="166">
        <f>F63-лютий!F60</f>
        <v>0</v>
      </c>
      <c r="P63" s="165">
        <f>#N/A</f>
        <v>0</v>
      </c>
      <c r="Q63" s="163"/>
      <c r="R63" s="36"/>
      <c r="S63" s="36">
        <f>#N/A</f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>#N/A</f>
        <v>44.642</v>
      </c>
      <c r="H64" s="162">
        <f>#N/A</f>
        <v>546.42</v>
      </c>
      <c r="I64" s="163">
        <f>#N/A</f>
        <v>-105.358</v>
      </c>
      <c r="J64" s="163">
        <f>#N/A</f>
        <v>34.15125</v>
      </c>
      <c r="K64" s="163">
        <v>33.09</v>
      </c>
      <c r="L64" s="163">
        <f>#N/A</f>
        <v>21.552</v>
      </c>
      <c r="M64" s="216">
        <f>#N/A</f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>#N/A</f>
        <v>21.752000000000002</v>
      </c>
      <c r="Q64" s="163"/>
      <c r="R64" s="36">
        <v>0</v>
      </c>
      <c r="S64" s="36">
        <f>#N/A</f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>#N/A</f>
        <v>11.752</v>
      </c>
      <c r="H65" s="162">
        <f>#N/A</f>
        <v>330.43137254901967</v>
      </c>
      <c r="I65" s="163">
        <f>#N/A</f>
        <v>1.8520000000000003</v>
      </c>
      <c r="J65" s="163">
        <f>#N/A</f>
        <v>112.34666666666666</v>
      </c>
      <c r="K65" s="163">
        <v>13.52</v>
      </c>
      <c r="L65" s="163">
        <f>#N/A</f>
        <v>3.3320000000000007</v>
      </c>
      <c r="M65" s="216">
        <f>#N/A</f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>#N/A</f>
        <v>1.1820000000000013</v>
      </c>
      <c r="Q65" s="163">
        <f>#N/A</f>
        <v>184.42857142857153</v>
      </c>
      <c r="R65" s="36">
        <v>3.2</v>
      </c>
      <c r="S65" s="36">
        <f>#N/A</f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>#N/A</f>
        <v>-5.25</v>
      </c>
      <c r="H66" s="162"/>
      <c r="I66" s="163">
        <f>#N/A</f>
        <v>-5.25</v>
      </c>
      <c r="J66" s="163"/>
      <c r="K66" s="163">
        <v>0.37</v>
      </c>
      <c r="L66" s="163">
        <f>#N/A</f>
        <v>-5.62</v>
      </c>
      <c r="M66" s="216">
        <f>#N/A</f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>#N/A</f>
        <v>0.08000000000000007</v>
      </c>
      <c r="Q66" s="163"/>
      <c r="R66" s="36">
        <v>0</v>
      </c>
      <c r="S66" s="36">
        <f>#N/A</f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>#N/A</f>
        <v>35.57</v>
      </c>
      <c r="H75" s="184"/>
      <c r="I75" s="185">
        <f>#N/A</f>
        <v>35.57</v>
      </c>
      <c r="J75" s="185"/>
      <c r="K75" s="185">
        <v>0</v>
      </c>
      <c r="L75" s="185">
        <f>#N/A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>#N/A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>#N/A</f>
        <v>0.12</v>
      </c>
      <c r="H76" s="162"/>
      <c r="I76" s="165">
        <f>#N/A</f>
        <v>-104205.91</v>
      </c>
      <c r="J76" s="165">
        <f>F76/D76*100</f>
        <v>0.00011515648374666994</v>
      </c>
      <c r="K76" s="165">
        <v>300.88</v>
      </c>
      <c r="L76" s="165">
        <f>#N/A</f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>#N/A</f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>#N/A</f>
        <v>-8127.08</v>
      </c>
      <c r="H77" s="162">
        <f>F77/E77*100</f>
        <v>3.5933570581257417</v>
      </c>
      <c r="I77" s="165">
        <f>#N/A</f>
        <v>-53697.08</v>
      </c>
      <c r="J77" s="165">
        <f>F77/D77*100</f>
        <v>0.560962962962963</v>
      </c>
      <c r="K77" s="165">
        <v>472.26</v>
      </c>
      <c r="L77" s="165">
        <f>#N/A</f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>#N/A</f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>#N/A</f>
        <v>-6678.55</v>
      </c>
      <c r="H78" s="162">
        <f>F78/E78*100</f>
        <v>21.428823529411765</v>
      </c>
      <c r="I78" s="165">
        <f>#N/A</f>
        <v>-77178.55</v>
      </c>
      <c r="J78" s="165">
        <f>F78/D78*100</f>
        <v>2.3056329113924052</v>
      </c>
      <c r="K78" s="165">
        <v>8810.08</v>
      </c>
      <c r="L78" s="165">
        <f>#N/A</f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>#N/A</f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>#N/A</f>
        <v>1</v>
      </c>
      <c r="H79" s="162">
        <f>F79/E79*100</f>
        <v>125</v>
      </c>
      <c r="I79" s="165">
        <f>#N/A</f>
        <v>-7</v>
      </c>
      <c r="J79" s="165">
        <f>F79/D79*100</f>
        <v>41.66666666666667</v>
      </c>
      <c r="K79" s="165">
        <v>4</v>
      </c>
      <c r="L79" s="165">
        <f>#N/A</f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>#N/A</f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>#N/A</f>
        <v>-14804.51</v>
      </c>
      <c r="H80" s="184">
        <f>F80/E80*100</f>
        <v>12.57523325853313</v>
      </c>
      <c r="I80" s="185">
        <f>#N/A</f>
        <v>-235088.54</v>
      </c>
      <c r="J80" s="185">
        <f>F80/D80*100</f>
        <v>0.8976931475233988</v>
      </c>
      <c r="K80" s="185">
        <v>9587.22</v>
      </c>
      <c r="L80" s="185">
        <f>#N/A</f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>#N/A</f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>#N/A</f>
        <v>6.75</v>
      </c>
      <c r="H81" s="162"/>
      <c r="I81" s="165">
        <f>#N/A</f>
        <v>-30.75</v>
      </c>
      <c r="J81" s="165"/>
      <c r="K81" s="165">
        <v>3.06</v>
      </c>
      <c r="L81" s="165">
        <f>#N/A</f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>#N/A</f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>#N/A</f>
        <v>0</v>
      </c>
      <c r="H82" s="162"/>
      <c r="I82" s="165">
        <f>#N/A</f>
        <v>0</v>
      </c>
      <c r="J82" s="188"/>
      <c r="K82" s="165">
        <v>0</v>
      </c>
      <c r="L82" s="165">
        <f>#N/A</f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>#N/A</f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>#N/A</f>
        <v>-133.65999999999985</v>
      </c>
      <c r="H83" s="162">
        <f>F83/E83*100</f>
        <v>94.3488922712667</v>
      </c>
      <c r="I83" s="165">
        <f>#N/A</f>
        <v>-6128.46</v>
      </c>
      <c r="J83" s="165">
        <f>F83/D83*100</f>
        <v>26.693062200956934</v>
      </c>
      <c r="K83" s="165">
        <v>2035.53</v>
      </c>
      <c r="L83" s="165">
        <f>#N/A</f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>#N/A</f>
        <v>0.03</v>
      </c>
      <c r="H84" s="162"/>
      <c r="I84" s="165">
        <f>#N/A</f>
        <v>0.03</v>
      </c>
      <c r="J84" s="165"/>
      <c r="K84" s="165">
        <v>0.52</v>
      </c>
      <c r="L84" s="165">
        <f>#N/A</f>
        <v>-0.49</v>
      </c>
      <c r="M84" s="207">
        <f>#N/A</f>
        <v>0.05769230769230769</v>
      </c>
      <c r="N84" s="162">
        <f>E84-березень!E84</f>
        <v>0</v>
      </c>
      <c r="O84" s="166">
        <f>F84-березень!F84</f>
        <v>0</v>
      </c>
      <c r="P84" s="165">
        <f>#N/A</f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>#N/A</f>
        <v>-6159.18</v>
      </c>
      <c r="J85" s="185">
        <f>F85/D85*100</f>
        <v>26.676428571428573</v>
      </c>
      <c r="K85" s="185">
        <v>2039.11</v>
      </c>
      <c r="L85" s="185">
        <f>#N/A</f>
        <v>201.71000000000026</v>
      </c>
      <c r="M85" s="218">
        <f>#N/A</f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>#N/A</f>
        <v>-6.5</v>
      </c>
      <c r="H86" s="162">
        <f>F86/E86*100</f>
        <v>53.90070921985816</v>
      </c>
      <c r="I86" s="165">
        <f>#N/A</f>
        <v>-30.4</v>
      </c>
      <c r="J86" s="165">
        <f>F86/D86*100</f>
        <v>20</v>
      </c>
      <c r="K86" s="165">
        <v>9.19</v>
      </c>
      <c r="L86" s="165">
        <f>#N/A</f>
        <v>-1.5899999999999999</v>
      </c>
      <c r="M86" s="207">
        <f>#N/A</f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>#N/A</f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>#N/A</f>
        <v>0</v>
      </c>
      <c r="H87" s="162"/>
      <c r="I87" s="165">
        <f>#N/A</f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>#N/A</f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>#N/A</f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>#N/A</f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>#N/A</f>
        <v>1.3150890221823077</v>
      </c>
      <c r="N89" s="190">
        <f>N67+N88</f>
        <v>118023.3</v>
      </c>
      <c r="O89" s="190">
        <f>O67+O88</f>
        <v>113092.23400000001</v>
      </c>
      <c r="P89" s="192">
        <f>#N/A</f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25"/>
      <c r="H92" s="325"/>
      <c r="I92" s="325"/>
      <c r="J92" s="325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13"/>
      <c r="P93" s="313"/>
    </row>
    <row r="94" spans="3:16" ht="15">
      <c r="C94" s="80">
        <v>42852</v>
      </c>
      <c r="D94" s="28">
        <v>13266.8</v>
      </c>
      <c r="F94" s="112" t="s">
        <v>58</v>
      </c>
      <c r="G94" s="309"/>
      <c r="H94" s="309"/>
      <c r="I94" s="117"/>
      <c r="J94" s="346"/>
      <c r="K94" s="346"/>
      <c r="L94" s="346"/>
      <c r="M94" s="346"/>
      <c r="N94" s="346"/>
      <c r="O94" s="313"/>
      <c r="P94" s="313"/>
    </row>
    <row r="95" spans="3:16" ht="15.75" customHeight="1">
      <c r="C95" s="80">
        <v>42851</v>
      </c>
      <c r="D95" s="28">
        <v>6064.2</v>
      </c>
      <c r="F95" s="67"/>
      <c r="G95" s="309"/>
      <c r="H95" s="309"/>
      <c r="I95" s="117"/>
      <c r="J95" s="347"/>
      <c r="K95" s="347"/>
      <c r="L95" s="347"/>
      <c r="M95" s="347"/>
      <c r="N95" s="347"/>
      <c r="O95" s="313"/>
      <c r="P95" s="313"/>
    </row>
    <row r="96" spans="3:14" ht="15.75" customHeight="1">
      <c r="C96" s="80"/>
      <c r="F96" s="67"/>
      <c r="G96" s="314"/>
      <c r="H96" s="314"/>
      <c r="I96" s="123"/>
      <c r="J96" s="346"/>
      <c r="K96" s="346"/>
      <c r="L96" s="346"/>
      <c r="M96" s="346"/>
      <c r="N96" s="346"/>
    </row>
    <row r="97" spans="2:14" ht="18" customHeight="1">
      <c r="B97" s="315" t="s">
        <v>56</v>
      </c>
      <c r="C97" s="316"/>
      <c r="D97" s="132">
        <v>102.57358</v>
      </c>
      <c r="E97" s="68"/>
      <c r="F97" s="124" t="s">
        <v>105</v>
      </c>
      <c r="G97" s="309"/>
      <c r="H97" s="309"/>
      <c r="I97" s="125"/>
      <c r="J97" s="346"/>
      <c r="K97" s="346"/>
      <c r="L97" s="346"/>
      <c r="M97" s="346"/>
      <c r="N97" s="346"/>
    </row>
    <row r="98" spans="6:13" ht="9.75" customHeight="1" hidden="1">
      <c r="F98" s="67"/>
      <c r="G98" s="309"/>
      <c r="H98" s="309"/>
      <c r="I98" s="67"/>
      <c r="J98" s="68"/>
      <c r="K98" s="68"/>
      <c r="L98" s="68"/>
      <c r="M98" s="68"/>
    </row>
    <row r="99" spans="2:13" ht="22.5" customHeight="1" hidden="1">
      <c r="B99" s="310" t="s">
        <v>59</v>
      </c>
      <c r="C99" s="311"/>
      <c r="D99" s="79">
        <v>0</v>
      </c>
      <c r="E99" s="50" t="s">
        <v>24</v>
      </c>
      <c r="F99" s="67"/>
      <c r="G99" s="309"/>
      <c r="H99" s="309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12"/>
      <c r="P101" s="312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>#N/A</f>
        <v>16662.34</v>
      </c>
      <c r="L103" s="28">
        <f>#N/A</f>
        <v>2952.3460000000014</v>
      </c>
      <c r="M103" s="28">
        <f>#N/A</f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>#N/A</f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>#N/A</f>
        <v>417417.1</v>
      </c>
      <c r="F104" s="227">
        <f>#N/A</f>
        <v>419761.754</v>
      </c>
      <c r="G104" s="28">
        <f>#N/A</f>
        <v>2349.9040000000523</v>
      </c>
      <c r="H104" s="228">
        <f>F104/E104</f>
        <v>1.005617053062752</v>
      </c>
      <c r="I104" s="28">
        <f>#N/A</f>
        <v>-937724.0960000001</v>
      </c>
      <c r="J104" s="228">
        <f>F104/D104</f>
        <v>0.3092187889850622</v>
      </c>
      <c r="K104" s="28">
        <f>#N/A</f>
        <v>16662.34</v>
      </c>
      <c r="L104" s="28">
        <f>#N/A</f>
        <v>2952.3460000000014</v>
      </c>
      <c r="M104" s="28">
        <f>#N/A</f>
        <v>20.42521813055033</v>
      </c>
      <c r="N104" s="28">
        <f>#N/A</f>
        <v>110560.2</v>
      </c>
      <c r="O104" s="227">
        <f>#N/A</f>
        <v>112332.75400000002</v>
      </c>
      <c r="P104" s="28">
        <f>#N/A</f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>#N/A</f>
        <v>0</v>
      </c>
      <c r="F105" s="28">
        <f>#N/A</f>
        <v>0</v>
      </c>
      <c r="G105" s="28">
        <f>#N/A</f>
        <v>-5.250000000013642</v>
      </c>
      <c r="H105" s="228"/>
      <c r="I105" s="28">
        <f>#N/A</f>
        <v>-5.25</v>
      </c>
      <c r="J105" s="228"/>
      <c r="K105" s="28">
        <f>#N/A</f>
        <v>294242.8</v>
      </c>
      <c r="L105" s="28">
        <f>#N/A</f>
        <v>105904.268</v>
      </c>
      <c r="M105" s="28">
        <f>#N/A</f>
        <v>-19.075090068981453</v>
      </c>
      <c r="N105" s="28">
        <f>#N/A</f>
        <v>0</v>
      </c>
      <c r="O105" s="28">
        <f>#N/A</f>
        <v>0</v>
      </c>
      <c r="P105" s="28">
        <f>#N/A</f>
        <v>0.07999999999447027</v>
      </c>
      <c r="Q105" s="28"/>
      <c r="R105" s="28">
        <f>#N/A</f>
        <v>110624.8</v>
      </c>
      <c r="S105" s="28"/>
      <c r="T105" s="28"/>
      <c r="U105" s="28">
        <f>#N/A</f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>#N/A</f>
        <v>1222868.6900000002</v>
      </c>
      <c r="E113" s="241">
        <f>#N/A</f>
        <v>550655.6</v>
      </c>
      <c r="F113" s="241">
        <f>#N/A</f>
        <v>545829.08</v>
      </c>
      <c r="G113" s="241">
        <f>#N/A</f>
        <v>-4826.520000000019</v>
      </c>
      <c r="H113" s="241">
        <f>F113/E113*100</f>
        <v>99.12349570221387</v>
      </c>
      <c r="I113" s="35">
        <f>#N/A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>#N/A</f>
        <v>1222868.6900000002</v>
      </c>
      <c r="E114" s="241">
        <f>#N/A</f>
        <v>550655.6</v>
      </c>
      <c r="F114" s="241">
        <f>#N/A</f>
        <v>545829.08</v>
      </c>
      <c r="G114" s="241">
        <f>#N/A</f>
        <v>-4826.520000000019</v>
      </c>
      <c r="H114" s="241">
        <f>#N/A</f>
        <v>99.12349570221387</v>
      </c>
      <c r="I114" s="35">
        <f>#N/A</f>
        <v>-677039.6100000002</v>
      </c>
      <c r="J114" s="35">
        <f>#N/A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>#N/A</f>
        <v>-4826.520000000019</v>
      </c>
      <c r="H115" s="241">
        <f>#N/A</f>
        <v>99.12349570221387</v>
      </c>
      <c r="I115" s="35">
        <f>#N/A</f>
        <v>-677039.6100000002</v>
      </c>
      <c r="J115" s="35">
        <f>#N/A</f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>#N/A</f>
        <v>-3734.029999999999</v>
      </c>
      <c r="H116" s="241">
        <f>#N/A</f>
        <v>95.0108160470321</v>
      </c>
      <c r="I116" s="35">
        <f>#N/A</f>
        <v>-240704.93000000002</v>
      </c>
      <c r="J116" s="35">
        <f>#N/A</f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>#N/A</f>
        <v>-707.6699999999837</v>
      </c>
      <c r="H117" s="241">
        <f>#N/A</f>
        <v>99.80061079304002</v>
      </c>
      <c r="I117" s="35">
        <f>#N/A</f>
        <v>-54436.96000000002</v>
      </c>
      <c r="J117" s="35">
        <f>#N/A</f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>#N/A</f>
        <v>-16.159999999999997</v>
      </c>
      <c r="H118" s="241">
        <f>#N/A</f>
        <v>71.64912280701755</v>
      </c>
      <c r="I118" s="35">
        <f>#N/A</f>
        <v>-186.85999999999999</v>
      </c>
      <c r="J118" s="35">
        <f>#N/A</f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>#N/A</f>
        <v>0</v>
      </c>
      <c r="H119" s="241">
        <f>#N/A</f>
        <v>100</v>
      </c>
      <c r="I119" s="35">
        <f>#N/A</f>
        <v>-187142.9</v>
      </c>
      <c r="J119" s="35">
        <f>#N/A</f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>#N/A</f>
        <v>0</v>
      </c>
      <c r="H120" s="241">
        <f>#N/A</f>
        <v>100</v>
      </c>
      <c r="I120" s="35">
        <f>#N/A</f>
        <v>-178707.6</v>
      </c>
      <c r="J120" s="35">
        <f>#N/A</f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>#N/A</f>
        <v>-460.1399999999999</v>
      </c>
      <c r="H121" s="241">
        <f>#N/A</f>
        <v>89.02806292160552</v>
      </c>
      <c r="I121" s="35">
        <f>#N/A</f>
        <v>-12505.44</v>
      </c>
      <c r="J121" s="35">
        <f>#N/A</f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>#N/A</f>
        <v>165.7</v>
      </c>
      <c r="H122" s="241">
        <f>#N/A</f>
        <v>0</v>
      </c>
      <c r="I122" s="35">
        <f>#N/A</f>
        <v>165.7</v>
      </c>
      <c r="J122" s="35" t="e">
        <f>#N/A</f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>#N/A</f>
        <v>-74.22000000000003</v>
      </c>
      <c r="H123" s="241">
        <f>#N/A</f>
        <v>91.84305967688756</v>
      </c>
      <c r="I123" s="35">
        <f>#N/A</f>
        <v>-3520.6200000000003</v>
      </c>
      <c r="J123" s="35">
        <f>#N/A</f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>#N/A</f>
        <v>-15231.915999999968</v>
      </c>
      <c r="H124" s="274">
        <f>#N/A</f>
        <v>98.48512590709952</v>
      </c>
      <c r="I124" s="276">
        <f>#N/A</f>
        <v>-1908165.3960000002</v>
      </c>
      <c r="J124" s="276">
        <f>#N/A</f>
        <v>34.16541645852482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32" t="s">
        <v>172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85"/>
      <c r="S1" s="86"/>
      <c r="T1" s="243"/>
      <c r="U1" s="246"/>
      <c r="V1" s="256"/>
      <c r="W1" s="256"/>
    </row>
    <row r="2" spans="2:23" s="1" customFormat="1" ht="15.75" customHeight="1">
      <c r="B2" s="333"/>
      <c r="C2" s="333"/>
      <c r="D2" s="333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34"/>
      <c r="B3" s="336"/>
      <c r="C3" s="337" t="s">
        <v>0</v>
      </c>
      <c r="D3" s="338" t="s">
        <v>137</v>
      </c>
      <c r="E3" s="31"/>
      <c r="F3" s="339" t="s">
        <v>26</v>
      </c>
      <c r="G3" s="340"/>
      <c r="H3" s="340"/>
      <c r="I3" s="340"/>
      <c r="J3" s="341"/>
      <c r="K3" s="82"/>
      <c r="L3" s="82"/>
      <c r="M3" s="82"/>
      <c r="N3" s="342" t="s">
        <v>150</v>
      </c>
      <c r="O3" s="343" t="s">
        <v>151</v>
      </c>
      <c r="P3" s="343"/>
      <c r="Q3" s="343"/>
      <c r="R3" s="343"/>
      <c r="S3" s="343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34"/>
      <c r="B4" s="336"/>
      <c r="C4" s="337"/>
      <c r="D4" s="338"/>
      <c r="E4" s="344" t="s">
        <v>140</v>
      </c>
      <c r="F4" s="326" t="s">
        <v>33</v>
      </c>
      <c r="G4" s="317" t="s">
        <v>149</v>
      </c>
      <c r="H4" s="328" t="s">
        <v>163</v>
      </c>
      <c r="I4" s="317" t="s">
        <v>125</v>
      </c>
      <c r="J4" s="328" t="s">
        <v>126</v>
      </c>
      <c r="K4" s="84" t="s">
        <v>128</v>
      </c>
      <c r="L4" s="202" t="s">
        <v>111</v>
      </c>
      <c r="M4" s="89" t="s">
        <v>63</v>
      </c>
      <c r="N4" s="328"/>
      <c r="O4" s="330" t="s">
        <v>173</v>
      </c>
      <c r="P4" s="317" t="s">
        <v>49</v>
      </c>
      <c r="Q4" s="319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35"/>
      <c r="B5" s="336"/>
      <c r="C5" s="337"/>
      <c r="D5" s="338"/>
      <c r="E5" s="345"/>
      <c r="F5" s="327"/>
      <c r="G5" s="318"/>
      <c r="H5" s="329"/>
      <c r="I5" s="318"/>
      <c r="J5" s="329"/>
      <c r="K5" s="320" t="s">
        <v>156</v>
      </c>
      <c r="L5" s="321"/>
      <c r="M5" s="322"/>
      <c r="N5" s="329"/>
      <c r="O5" s="331"/>
      <c r="P5" s="318"/>
      <c r="Q5" s="319"/>
      <c r="R5" s="320" t="s">
        <v>102</v>
      </c>
      <c r="S5" s="322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>#N/A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>#N/A</f>
        <v>83758.09999999995</v>
      </c>
      <c r="M8" s="203">
        <f>#N/A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>#N/A</f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>#N/A</f>
        <v>49905.53999999998</v>
      </c>
      <c r="M9" s="204">
        <f>#N/A</f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>#N/A</f>
        <v>1803.3699999999953</v>
      </c>
      <c r="H10" s="29">
        <f>#N/A</f>
        <v>101.23086846128643</v>
      </c>
      <c r="I10" s="103">
        <f>#N/A</f>
        <v>-553001.63</v>
      </c>
      <c r="J10" s="103">
        <f>#N/A</f>
        <v>21.14812132031592</v>
      </c>
      <c r="K10" s="105">
        <v>98464.38</v>
      </c>
      <c r="L10" s="105">
        <f>#N/A</f>
        <v>49850.98999999999</v>
      </c>
      <c r="M10" s="205">
        <f>#N/A</f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>#N/A</f>
        <v>1424.729999999996</v>
      </c>
      <c r="Q10" s="103">
        <f>#N/A</f>
        <v>102.63040026585924</v>
      </c>
      <c r="R10" s="36"/>
      <c r="S10" s="93"/>
      <c r="T10" s="145"/>
      <c r="U10" s="244">
        <f>#N/A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>#N/A</f>
        <v>-1695.5200000000004</v>
      </c>
      <c r="H11" s="29">
        <f>#N/A</f>
        <v>84.30074074074074</v>
      </c>
      <c r="I11" s="103">
        <f>#N/A</f>
        <v>-37401.520000000004</v>
      </c>
      <c r="J11" s="103">
        <f>#N/A</f>
        <v>19.57700081709887</v>
      </c>
      <c r="K11" s="105">
        <v>8077.11</v>
      </c>
      <c r="L11" s="105">
        <f>#N/A</f>
        <v>1027.37</v>
      </c>
      <c r="M11" s="205">
        <f>#N/A</f>
        <v>1.1271952468147641</v>
      </c>
      <c r="N11" s="104">
        <f>E11-лютий!E11</f>
        <v>3600</v>
      </c>
      <c r="O11" s="142">
        <f>F11-лютий!F11</f>
        <v>3209.2199999999993</v>
      </c>
      <c r="P11" s="105">
        <f>#N/A</f>
        <v>-390.78000000000065</v>
      </c>
      <c r="Q11" s="103">
        <f>#N/A</f>
        <v>89.14499999999998</v>
      </c>
      <c r="R11" s="36"/>
      <c r="S11" s="93"/>
      <c r="T11" s="145"/>
      <c r="U11" s="244">
        <f>#N/A</f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>#N/A</f>
        <v>24.690000000000055</v>
      </c>
      <c r="H12" s="29">
        <f>#N/A</f>
        <v>101.41896551724139</v>
      </c>
      <c r="I12" s="103">
        <f>#N/A</f>
        <v>-6515.3099999999995</v>
      </c>
      <c r="J12" s="103">
        <f>#N/A</f>
        <v>21.31268115942029</v>
      </c>
      <c r="K12" s="105">
        <v>2379.47</v>
      </c>
      <c r="L12" s="105">
        <f>#N/A</f>
        <v>-614.7799999999997</v>
      </c>
      <c r="M12" s="205">
        <f>#N/A</f>
        <v>0.7416315397966775</v>
      </c>
      <c r="N12" s="104">
        <f>E12-лютий!E12</f>
        <v>900</v>
      </c>
      <c r="O12" s="142">
        <f>F12-лютий!F12</f>
        <v>727.27</v>
      </c>
      <c r="P12" s="105">
        <f>#N/A</f>
        <v>-172.73000000000002</v>
      </c>
      <c r="Q12" s="103">
        <f>#N/A</f>
        <v>80.80777777777777</v>
      </c>
      <c r="R12" s="36"/>
      <c r="S12" s="93"/>
      <c r="T12" s="145"/>
      <c r="U12" s="244">
        <f>#N/A</f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>#N/A</f>
        <v>109.15999999999985</v>
      </c>
      <c r="H13" s="29">
        <f>#N/A</f>
        <v>104.33174603174602</v>
      </c>
      <c r="I13" s="103">
        <f>#N/A</f>
        <v>-6760.84</v>
      </c>
      <c r="J13" s="103">
        <f>#N/A</f>
        <v>27.999574014909477</v>
      </c>
      <c r="K13" s="105">
        <v>2424.94</v>
      </c>
      <c r="L13" s="105">
        <f>#N/A</f>
        <v>204.2199999999998</v>
      </c>
      <c r="M13" s="205">
        <f>#N/A</f>
        <v>1.0842165166973203</v>
      </c>
      <c r="N13" s="104">
        <f>E13-лютий!E13</f>
        <v>900</v>
      </c>
      <c r="O13" s="142">
        <f>F13-лютий!F13</f>
        <v>600.8399999999999</v>
      </c>
      <c r="P13" s="105">
        <f>#N/A</f>
        <v>-299.1600000000001</v>
      </c>
      <c r="Q13" s="103">
        <f>#N/A</f>
        <v>66.75999999999999</v>
      </c>
      <c r="R13" s="36"/>
      <c r="S13" s="93"/>
      <c r="T13" s="145"/>
      <c r="U13" s="244">
        <f>#N/A</f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>#N/A</f>
        <v>85.67000000000002</v>
      </c>
      <c r="H14" s="29">
        <f>#N/A</f>
        <v>129.74652777777777</v>
      </c>
      <c r="I14" s="103">
        <f>#N/A</f>
        <v>-778.3299999999999</v>
      </c>
      <c r="J14" s="103">
        <f>#N/A</f>
        <v>32.43663194444444</v>
      </c>
      <c r="K14" s="105">
        <v>935.92</v>
      </c>
      <c r="L14" s="105">
        <f>#N/A</f>
        <v>-562.25</v>
      </c>
      <c r="M14" s="205">
        <f>#N/A</f>
        <v>0.3992542097615181</v>
      </c>
      <c r="N14" s="104">
        <f>E14-лютий!E14</f>
        <v>96</v>
      </c>
      <c r="O14" s="142">
        <f>F14-лютий!F14</f>
        <v>175.36</v>
      </c>
      <c r="P14" s="105">
        <f>#N/A</f>
        <v>79.36000000000001</v>
      </c>
      <c r="Q14" s="103">
        <f>#N/A</f>
        <v>182.66666666666669</v>
      </c>
      <c r="R14" s="36"/>
      <c r="S14" s="93"/>
      <c r="T14" s="244"/>
      <c r="U14" s="244">
        <f>#N/A</f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>#N/A</f>
        <v>-537.4200000000001</v>
      </c>
      <c r="H15" s="155">
        <f>F15/E15*100</f>
        <v>-214.28070175438597</v>
      </c>
      <c r="I15" s="156">
        <f>#N/A</f>
        <v>-917.4200000000001</v>
      </c>
      <c r="J15" s="156">
        <f>#N/A</f>
        <v>-66.50090744101634</v>
      </c>
      <c r="K15" s="159">
        <v>185.06</v>
      </c>
      <c r="L15" s="159">
        <f>#N/A</f>
        <v>-551.48</v>
      </c>
      <c r="M15" s="206">
        <f>#N/A</f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>#N/A</f>
        <v>-500.33000000000004</v>
      </c>
      <c r="Q15" s="156">
        <f>#N/A</f>
        <v>-316.9416666666667</v>
      </c>
      <c r="R15" s="36"/>
      <c r="S15" s="93"/>
      <c r="T15" s="145">
        <v>-377.2</v>
      </c>
      <c r="U15" s="244">
        <f>#N/A</f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>#N/A</f>
        <v>0</v>
      </c>
      <c r="H16" s="155" t="e">
        <f>F16/E16/100</f>
        <v>#DIV/0!</v>
      </c>
      <c r="I16" s="36">
        <f>#N/A</f>
        <v>0</v>
      </c>
      <c r="J16" s="36" t="e">
        <f>#N/A</f>
        <v>#DIV/0!</v>
      </c>
      <c r="K16" s="105">
        <v>381.9</v>
      </c>
      <c r="L16" s="159">
        <f>#N/A</f>
        <v>-381.9</v>
      </c>
      <c r="M16" s="206">
        <f>#N/A</f>
        <v>0</v>
      </c>
      <c r="N16" s="162">
        <f>E16-лютий!E16</f>
        <v>0</v>
      </c>
      <c r="O16" s="166">
        <f>F16-лютий!F16</f>
        <v>0</v>
      </c>
      <c r="P16" s="35">
        <f>#N/A</f>
        <v>0</v>
      </c>
      <c r="Q16" s="156" t="e">
        <f>#N/A</f>
        <v>#DIV/0!</v>
      </c>
      <c r="R16" s="103">
        <f>O16-358.81</f>
        <v>-358.81</v>
      </c>
      <c r="S16" s="108">
        <f>O16/358.79</f>
        <v>0</v>
      </c>
      <c r="T16" s="145"/>
      <c r="U16" s="244">
        <f>#N/A</f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>#N/A</f>
        <v>0</v>
      </c>
      <c r="H17" s="155" t="e">
        <f>F17/E17/100</f>
        <v>#DIV/0!</v>
      </c>
      <c r="I17" s="163">
        <f>#N/A</f>
        <v>0</v>
      </c>
      <c r="J17" s="163"/>
      <c r="K17" s="165">
        <v>0.14</v>
      </c>
      <c r="L17" s="159">
        <f>#N/A</f>
        <v>-0.14</v>
      </c>
      <c r="M17" s="206">
        <f>#N/A</f>
        <v>0</v>
      </c>
      <c r="N17" s="162">
        <f>E17-лютий!E17</f>
        <v>0</v>
      </c>
      <c r="O17" s="166">
        <f>F17-лютий!F17</f>
        <v>0</v>
      </c>
      <c r="P17" s="165">
        <f>#N/A</f>
        <v>0</v>
      </c>
      <c r="Q17" s="156" t="e">
        <f>#N/A</f>
        <v>#DIV/0!</v>
      </c>
      <c r="R17" s="103"/>
      <c r="S17" s="108"/>
      <c r="T17" s="145"/>
      <c r="U17" s="244">
        <f>#N/A</f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>#N/A</f>
        <v>48.459999999999994</v>
      </c>
      <c r="H18" s="155">
        <f>F18/E18*100</f>
        <v>169.22857142857143</v>
      </c>
      <c r="I18" s="156">
        <f>#N/A</f>
        <v>-6.540000000000006</v>
      </c>
      <c r="J18" s="156">
        <f>#N/A</f>
        <v>94.768</v>
      </c>
      <c r="K18" s="159">
        <v>105.8</v>
      </c>
      <c r="L18" s="159">
        <f>#N/A</f>
        <v>12.659999999999997</v>
      </c>
      <c r="M18" s="206">
        <f>#N/A</f>
        <v>1.1196597353497164</v>
      </c>
      <c r="N18" s="162">
        <f>E18-лютий!E18</f>
        <v>0</v>
      </c>
      <c r="O18" s="166">
        <f>F18-лютий!F18</f>
        <v>0</v>
      </c>
      <c r="P18" s="159">
        <f>#N/A</f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>#N/A</f>
        <v>-166.13999999999942</v>
      </c>
      <c r="H19" s="162">
        <f>#N/A</f>
        <v>99.40237410071943</v>
      </c>
      <c r="I19" s="163">
        <f>#N/A</f>
        <v>-102366.14</v>
      </c>
      <c r="J19" s="163">
        <f>#N/A</f>
        <v>21.256815384615386</v>
      </c>
      <c r="K19" s="159">
        <v>18270.9</v>
      </c>
      <c r="L19" s="165">
        <f>#N/A</f>
        <v>9362.96</v>
      </c>
      <c r="M19" s="211">
        <f>#N/A</f>
        <v>1.5124520412240228</v>
      </c>
      <c r="N19" s="162">
        <f>N20+N21+N22</f>
        <v>9800</v>
      </c>
      <c r="O19" s="166">
        <f>O20+O21+O22</f>
        <v>13927.95</v>
      </c>
      <c r="P19" s="165">
        <f>#N/A</f>
        <v>4127.950000000001</v>
      </c>
      <c r="Q19" s="163">
        <f>#N/A</f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>#N/A</f>
        <v>-10065.939999999999</v>
      </c>
      <c r="H20" s="193">
        <f>#N/A</f>
        <v>63.79158273381296</v>
      </c>
      <c r="I20" s="251">
        <f>#N/A</f>
        <v>-112265.94</v>
      </c>
      <c r="J20" s="251">
        <f>#N/A</f>
        <v>13.641584615384616</v>
      </c>
      <c r="K20" s="252">
        <v>18270.89</v>
      </c>
      <c r="L20" s="164">
        <f>#N/A</f>
        <v>-536.8299999999981</v>
      </c>
      <c r="M20" s="253">
        <f>#N/A</f>
        <v>0.9706182895305047</v>
      </c>
      <c r="N20" s="193">
        <f>E20-лютий!E19</f>
        <v>9800</v>
      </c>
      <c r="O20" s="177">
        <f>F20-лютий!F19</f>
        <v>4028.1500000000015</v>
      </c>
      <c r="P20" s="164">
        <f>#N/A</f>
        <v>-5771.8499999999985</v>
      </c>
      <c r="Q20" s="251">
        <f>#N/A</f>
        <v>41.10357142857144</v>
      </c>
      <c r="R20" s="106"/>
      <c r="S20" s="107"/>
      <c r="T20" s="254">
        <v>4250</v>
      </c>
      <c r="U20" s="255">
        <f>#N/A</f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>#N/A</f>
        <v>2236.79</v>
      </c>
      <c r="H21" s="193"/>
      <c r="I21" s="251">
        <f>#N/A</f>
        <v>2236.79</v>
      </c>
      <c r="J21" s="251"/>
      <c r="K21" s="252">
        <v>0</v>
      </c>
      <c r="L21" s="164">
        <f>#N/A</f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>#N/A</f>
        <v>7663.01</v>
      </c>
      <c r="H22" s="193"/>
      <c r="I22" s="251">
        <f>#N/A</f>
        <v>7663.01</v>
      </c>
      <c r="J22" s="251"/>
      <c r="K22" s="252">
        <v>0</v>
      </c>
      <c r="L22" s="164">
        <f>#N/A</f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>#N/A</f>
        <v>1334.0599999999977</v>
      </c>
      <c r="H23" s="155">
        <f>#N/A</f>
        <v>101.29976568246808</v>
      </c>
      <c r="I23" s="156">
        <f>#N/A</f>
        <v>-297157.54</v>
      </c>
      <c r="J23" s="156">
        <f>#N/A</f>
        <v>25.91990977490844</v>
      </c>
      <c r="K23" s="156">
        <v>78944.09</v>
      </c>
      <c r="L23" s="159">
        <f>#N/A</f>
        <v>25028.47</v>
      </c>
      <c r="M23" s="207">
        <f>#N/A</f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>#N/A</f>
        <v>-1848.6900000000023</v>
      </c>
      <c r="Q23" s="156">
        <f>#N/A</f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>#N/A</f>
        <v>722.5599999999977</v>
      </c>
      <c r="H24" s="155">
        <f>#N/A</f>
        <v>101.51034263641077</v>
      </c>
      <c r="I24" s="156">
        <f>#N/A</f>
        <v>-158057.64</v>
      </c>
      <c r="J24" s="156">
        <f>#N/A</f>
        <v>23.50359353599102</v>
      </c>
      <c r="K24" s="156">
        <v>40388.11</v>
      </c>
      <c r="L24" s="159">
        <f>#N/A</f>
        <v>8175.25</v>
      </c>
      <c r="M24" s="207">
        <f>#N/A</f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>#N/A</f>
        <v>1348.3099999999977</v>
      </c>
      <c r="Q24" s="156">
        <f>#N/A</f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>#N/A</f>
        <v>263.9399999999996</v>
      </c>
      <c r="H25" s="171">
        <f>#N/A</f>
        <v>105.33212121212121</v>
      </c>
      <c r="I25" s="172">
        <f>#N/A</f>
        <v>-17595.06</v>
      </c>
      <c r="J25" s="172">
        <f>#N/A</f>
        <v>22.859134552150465</v>
      </c>
      <c r="K25" s="173">
        <v>4194.89</v>
      </c>
      <c r="L25" s="164">
        <f>#N/A</f>
        <v>1019.0499999999993</v>
      </c>
      <c r="M25" s="213">
        <f>#N/A</f>
        <v>1.2429265129717344</v>
      </c>
      <c r="N25" s="193">
        <f>E25-лютий!E22</f>
        <v>575</v>
      </c>
      <c r="O25" s="177">
        <f>F25-лютий!F22</f>
        <v>805.7299999999996</v>
      </c>
      <c r="P25" s="175">
        <f>#N/A</f>
        <v>230.72999999999956</v>
      </c>
      <c r="Q25" s="172">
        <f>#N/A</f>
        <v>140.12695652173906</v>
      </c>
      <c r="R25" s="106"/>
      <c r="S25" s="107"/>
      <c r="T25" s="145">
        <v>374</v>
      </c>
      <c r="U25" s="244">
        <f>#N/A</f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>#N/A</f>
        <v>-92.93</v>
      </c>
      <c r="H26" s="197">
        <f>#N/A</f>
        <v>62.827999999999996</v>
      </c>
      <c r="I26" s="198">
        <f>#N/A</f>
        <v>-1665.23</v>
      </c>
      <c r="J26" s="198">
        <f>#N/A</f>
        <v>8.619327223838006</v>
      </c>
      <c r="K26" s="198">
        <v>156.42</v>
      </c>
      <c r="L26" s="198">
        <f>#N/A</f>
        <v>0.6500000000000057</v>
      </c>
      <c r="M26" s="226">
        <f>#N/A</f>
        <v>1.0041554788390232</v>
      </c>
      <c r="N26" s="234">
        <f>E26-лютий!E23</f>
        <v>55</v>
      </c>
      <c r="O26" s="234">
        <f>F26-лютий!F23</f>
        <v>6.840000000000003</v>
      </c>
      <c r="P26" s="198">
        <f>#N/A</f>
        <v>-48.16</v>
      </c>
      <c r="Q26" s="198">
        <f>#N/A</f>
        <v>12.436363636363643</v>
      </c>
      <c r="R26" s="106"/>
      <c r="S26" s="107"/>
      <c r="T26" s="145"/>
      <c r="U26" s="244">
        <f>#N/A</f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>#N/A</f>
        <v>356.8699999999999</v>
      </c>
      <c r="H27" s="197">
        <f>#N/A</f>
        <v>107.59297872340426</v>
      </c>
      <c r="I27" s="198">
        <f>#N/A</f>
        <v>-15929.830000000002</v>
      </c>
      <c r="J27" s="198">
        <f>#N/A</f>
        <v>24.095593876121544</v>
      </c>
      <c r="K27" s="198">
        <v>4038.47</v>
      </c>
      <c r="L27" s="198">
        <f>#N/A</f>
        <v>1018.4000000000001</v>
      </c>
      <c r="M27" s="226">
        <f>#N/A</f>
        <v>1.2521747097291795</v>
      </c>
      <c r="N27" s="234">
        <f>E27-лютий!E24</f>
        <v>520</v>
      </c>
      <c r="O27" s="234">
        <f>F27-лютий!F24</f>
        <v>798.8900000000003</v>
      </c>
      <c r="P27" s="198">
        <f>#N/A</f>
        <v>278.8900000000003</v>
      </c>
      <c r="Q27" s="198">
        <f>#N/A</f>
        <v>153.63269230769237</v>
      </c>
      <c r="R27" s="106"/>
      <c r="S27" s="107"/>
      <c r="T27" s="145"/>
      <c r="U27" s="244">
        <f>#N/A</f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>#N/A</f>
        <v>-24.549999999999997</v>
      </c>
      <c r="H28" s="171">
        <f>#N/A</f>
        <v>56.00358422939068</v>
      </c>
      <c r="I28" s="172">
        <f>#N/A</f>
        <v>-788.75</v>
      </c>
      <c r="J28" s="172">
        <f>#N/A</f>
        <v>3.8109756097560976</v>
      </c>
      <c r="K28" s="172">
        <v>313.88</v>
      </c>
      <c r="L28" s="172">
        <f>#N/A</f>
        <v>-282.63</v>
      </c>
      <c r="M28" s="210">
        <f>#N/A</f>
        <v>0.09956034153179559</v>
      </c>
      <c r="N28" s="193">
        <f>E28-лютий!E25</f>
        <v>5</v>
      </c>
      <c r="O28" s="177">
        <f>F28-лютий!F25</f>
        <v>-47.92</v>
      </c>
      <c r="P28" s="175">
        <f>#N/A</f>
        <v>-52.92</v>
      </c>
      <c r="Q28" s="172">
        <f>O28/N28*100</f>
        <v>-958.4</v>
      </c>
      <c r="R28" s="106"/>
      <c r="S28" s="107"/>
      <c r="T28" s="145">
        <v>0</v>
      </c>
      <c r="U28" s="244">
        <f>#N/A</f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>#N/A</f>
        <v>483.16999999999825</v>
      </c>
      <c r="H29" s="171">
        <f>#N/A</f>
        <v>101.1279794560523</v>
      </c>
      <c r="I29" s="172">
        <f>#N/A</f>
        <v>-139673.83000000002</v>
      </c>
      <c r="J29" s="172">
        <f>#N/A</f>
        <v>23.672165996327706</v>
      </c>
      <c r="K29" s="173">
        <v>35879.34</v>
      </c>
      <c r="L29" s="173">
        <f>#N/A</f>
        <v>7438.830000000002</v>
      </c>
      <c r="M29" s="209">
        <f>#N/A</f>
        <v>1.2073290645814556</v>
      </c>
      <c r="N29" s="193">
        <f>E29-лютий!E26</f>
        <v>15180</v>
      </c>
      <c r="O29" s="177">
        <f>F29-лютий!F26</f>
        <v>16350.5</v>
      </c>
      <c r="P29" s="175">
        <f>#N/A</f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>#N/A</f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>#N/A</f>
        <v>1605.4400000000005</v>
      </c>
      <c r="H30" s="197">
        <f>#N/A</f>
        <v>112.51317225253312</v>
      </c>
      <c r="I30" s="198">
        <f>#N/A</f>
        <v>-43097.56</v>
      </c>
      <c r="J30" s="198">
        <f>#N/A</f>
        <v>25.0907131559279</v>
      </c>
      <c r="K30" s="198">
        <v>10893.12</v>
      </c>
      <c r="L30" s="198">
        <f>#N/A</f>
        <v>3542.3199999999997</v>
      </c>
      <c r="M30" s="226">
        <f>#N/A</f>
        <v>1.3251887429863987</v>
      </c>
      <c r="N30" s="234">
        <f>E30-лютий!E27</f>
        <v>4650</v>
      </c>
      <c r="O30" s="234">
        <f>F30-лютий!F27</f>
        <v>5576.230000000001</v>
      </c>
      <c r="P30" s="198">
        <f>#N/A</f>
        <v>926.2300000000014</v>
      </c>
      <c r="Q30" s="198">
        <f>O30/N30*100</f>
        <v>119.91892473118281</v>
      </c>
      <c r="R30" s="106"/>
      <c r="S30" s="107"/>
      <c r="T30" s="145"/>
      <c r="U30" s="244">
        <f>#N/A</f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>#N/A</f>
        <v>-1122.2700000000004</v>
      </c>
      <c r="H31" s="197">
        <f>#N/A</f>
        <v>96.25972337943676</v>
      </c>
      <c r="I31" s="198">
        <f>#N/A</f>
        <v>-96576.27</v>
      </c>
      <c r="J31" s="198">
        <f>#N/A</f>
        <v>23.02164850668346</v>
      </c>
      <c r="K31" s="198">
        <v>24986.12</v>
      </c>
      <c r="L31" s="198">
        <f>#N/A</f>
        <v>3896.6100000000006</v>
      </c>
      <c r="M31" s="226">
        <f>#N/A</f>
        <v>1.1559509839863091</v>
      </c>
      <c r="N31" s="234">
        <f>E31-лютий!E28</f>
        <v>10530</v>
      </c>
      <c r="O31" s="234">
        <f>F31-лютий!F28</f>
        <v>10774.27</v>
      </c>
      <c r="P31" s="198">
        <f>#N/A</f>
        <v>244.27000000000044</v>
      </c>
      <c r="Q31" s="198">
        <f>O31/N31*100</f>
        <v>102.31975308641977</v>
      </c>
      <c r="R31" s="106"/>
      <c r="S31" s="107"/>
      <c r="T31" s="145"/>
      <c r="U31" s="244">
        <f>#N/A</f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>#N/A</f>
        <v>0.2</v>
      </c>
      <c r="H32" s="155"/>
      <c r="I32" s="156">
        <f>#N/A</f>
        <v>0.2</v>
      </c>
      <c r="J32" s="156"/>
      <c r="K32" s="165">
        <v>0</v>
      </c>
      <c r="L32" s="156">
        <f>#N/A</f>
        <v>0.2</v>
      </c>
      <c r="M32" s="208"/>
      <c r="N32" s="155">
        <f>E32-лютий!E29</f>
        <v>0</v>
      </c>
      <c r="O32" s="158">
        <f>F32-лютий!F29</f>
        <v>0</v>
      </c>
      <c r="P32" s="159">
        <f>#N/A</f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>#N/A</f>
        <v>18.200000000000003</v>
      </c>
      <c r="H33" s="155">
        <f>#N/A</f>
        <v>195.78947368421055</v>
      </c>
      <c r="I33" s="156">
        <f>#N/A</f>
        <v>-77.8</v>
      </c>
      <c r="J33" s="156">
        <f>#N/A</f>
        <v>32.34782608695652</v>
      </c>
      <c r="K33" s="156">
        <v>24.81</v>
      </c>
      <c r="L33" s="156">
        <f>#N/A</f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>#N/A</f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>#N/A</f>
        <v>-24.82</v>
      </c>
      <c r="H34" s="155"/>
      <c r="I34" s="156">
        <f>#N/A</f>
        <v>-24.82</v>
      </c>
      <c r="J34" s="156"/>
      <c r="K34" s="156">
        <v>-81.54</v>
      </c>
      <c r="L34" s="156">
        <f>#N/A</f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>#N/A</f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>#N/A</f>
        <v>617.9200000000055</v>
      </c>
      <c r="H35" s="162">
        <f>#N/A</f>
        <v>101.12802969037236</v>
      </c>
      <c r="I35" s="163">
        <f>#N/A</f>
        <v>-138997.48</v>
      </c>
      <c r="J35" s="163">
        <f>#N/A</f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>#N/A</f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>#N/A</f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>#N/A</f>
        <v>0</v>
      </c>
      <c r="H36" s="104"/>
      <c r="I36" s="103">
        <f>#N/A</f>
        <v>0</v>
      </c>
      <c r="J36" s="103"/>
      <c r="K36" s="126">
        <v>0.16</v>
      </c>
      <c r="L36" s="126">
        <f>#N/A</f>
        <v>-0.16</v>
      </c>
      <c r="M36" s="214">
        <f>#N/A</f>
        <v>0</v>
      </c>
      <c r="N36" s="104">
        <f>E36-лютий!E33</f>
        <v>0</v>
      </c>
      <c r="O36" s="142">
        <f>F36-лютий!F33</f>
        <v>0</v>
      </c>
      <c r="P36" s="105">
        <f>#N/A</f>
        <v>0</v>
      </c>
      <c r="Q36" s="103"/>
      <c r="R36" s="106"/>
      <c r="S36" s="107"/>
      <c r="T36" s="145"/>
      <c r="U36" s="244">
        <f>#N/A</f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>#N/A</f>
        <v>547.9200000000001</v>
      </c>
      <c r="H37" s="104">
        <f>#N/A</f>
        <v>105.26846153846154</v>
      </c>
      <c r="I37" s="103">
        <f>#N/A</f>
        <v>-30052.08</v>
      </c>
      <c r="J37" s="103">
        <f>#N/A</f>
        <v>26.702243902439026</v>
      </c>
      <c r="K37" s="126">
        <v>9812.49</v>
      </c>
      <c r="L37" s="126">
        <f>#N/A</f>
        <v>1135.4300000000003</v>
      </c>
      <c r="M37" s="214">
        <f>#N/A</f>
        <v>1.1157127293887688</v>
      </c>
      <c r="N37" s="104">
        <f>E37-лютий!E34</f>
        <v>1290</v>
      </c>
      <c r="O37" s="142">
        <f>F37-лютий!F34</f>
        <v>1191.9699999999993</v>
      </c>
      <c r="P37" s="105">
        <f>#N/A</f>
        <v>-98.03000000000065</v>
      </c>
      <c r="Q37" s="103">
        <f>O37/N37*100</f>
        <v>92.4007751937984</v>
      </c>
      <c r="R37" s="106"/>
      <c r="S37" s="107"/>
      <c r="T37" s="145"/>
      <c r="U37" s="244">
        <f>#N/A</f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>#N/A</f>
        <v>72.58000000000175</v>
      </c>
      <c r="H38" s="104">
        <f>#N/A</f>
        <v>100.1636158701533</v>
      </c>
      <c r="I38" s="103">
        <f>#N/A</f>
        <v>-108906.52</v>
      </c>
      <c r="J38" s="103">
        <f>#N/A</f>
        <v>28.97667979008616</v>
      </c>
      <c r="K38" s="126">
        <v>28792.38</v>
      </c>
      <c r="L38" s="126">
        <f>#N/A</f>
        <v>15640.2</v>
      </c>
      <c r="M38" s="214">
        <f>#N/A</f>
        <v>1.5432062233132517</v>
      </c>
      <c r="N38" s="104">
        <f>E38-лютий!E35</f>
        <v>9660</v>
      </c>
      <c r="O38" s="142">
        <f>F38-лютий!F35</f>
        <v>6576.080000000002</v>
      </c>
      <c r="P38" s="105">
        <f>#N/A</f>
        <v>-3083.9199999999983</v>
      </c>
      <c r="Q38" s="103">
        <f>O38/N38*100</f>
        <v>68.07536231884059</v>
      </c>
      <c r="R38" s="106"/>
      <c r="S38" s="107"/>
      <c r="T38" s="145"/>
      <c r="U38" s="244">
        <f>#N/A</f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>#N/A</f>
        <v>-2.59</v>
      </c>
      <c r="H39" s="104">
        <f>#N/A</f>
        <v>86.14973262032085</v>
      </c>
      <c r="I39" s="103">
        <f>#N/A</f>
        <v>-38.89</v>
      </c>
      <c r="J39" s="103">
        <f>#N/A</f>
        <v>29.29090909090909</v>
      </c>
      <c r="K39" s="126">
        <v>7.69</v>
      </c>
      <c r="L39" s="126">
        <f>#N/A</f>
        <v>8.419999999999998</v>
      </c>
      <c r="M39" s="214">
        <f>#N/A</f>
        <v>2.094928478543563</v>
      </c>
      <c r="N39" s="104">
        <f>E39-лютий!E36</f>
        <v>0</v>
      </c>
      <c r="O39" s="142">
        <f>F39-лютий!F36</f>
        <v>0</v>
      </c>
      <c r="P39" s="105">
        <f>#N/A</f>
        <v>0</v>
      </c>
      <c r="Q39" s="103"/>
      <c r="R39" s="106"/>
      <c r="S39" s="107"/>
      <c r="T39" s="145"/>
      <c r="U39" s="244">
        <f>#N/A</f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>#N/A</f>
        <v>0</v>
      </c>
      <c r="H40" s="29"/>
      <c r="I40" s="36">
        <f>#N/A</f>
        <v>0</v>
      </c>
      <c r="J40" s="36"/>
      <c r="K40" s="118">
        <v>0</v>
      </c>
      <c r="L40" s="118">
        <f>#N/A</f>
        <v>0</v>
      </c>
      <c r="M40" s="215" t="e">
        <f>#N/A</f>
        <v>#DIV/0!</v>
      </c>
      <c r="N40" s="155">
        <f>E40-лютий!E37</f>
        <v>0</v>
      </c>
      <c r="O40" s="158">
        <f>F40-лютий!F37</f>
        <v>0</v>
      </c>
      <c r="P40" s="35">
        <f>#N/A</f>
        <v>0</v>
      </c>
      <c r="Q40" s="36"/>
      <c r="R40" s="106"/>
      <c r="S40" s="107"/>
      <c r="T40" s="145"/>
      <c r="U40" s="244">
        <f>#N/A</f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>#N/A</f>
        <v>3201.9800000000014</v>
      </c>
      <c r="M41" s="203">
        <f>#N/A</f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>#N/A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>#N/A</f>
        <v>-281.47</v>
      </c>
      <c r="M42" s="216">
        <f>#N/A</f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>#N/A</f>
        <v>#DIV/0!</v>
      </c>
      <c r="R42" s="36"/>
      <c r="S42" s="93"/>
      <c r="T42" s="145">
        <v>-196</v>
      </c>
      <c r="U42" s="244">
        <f>#N/A</f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>#N/A</f>
        <v>-598.1599999999999</v>
      </c>
      <c r="H43" s="162">
        <f>#N/A</f>
        <v>88.71396226415095</v>
      </c>
      <c r="I43" s="163">
        <f>#N/A</f>
        <v>-25298.16</v>
      </c>
      <c r="J43" s="163">
        <f>F43/D43*100</f>
        <v>15.6728</v>
      </c>
      <c r="K43" s="163">
        <v>3537.38</v>
      </c>
      <c r="L43" s="163">
        <f>#N/A</f>
        <v>1164.46</v>
      </c>
      <c r="M43" s="216">
        <f>#N/A</f>
        <v>1.3291871385036382</v>
      </c>
      <c r="N43" s="162">
        <f>E43-лютий!E40</f>
        <v>2800</v>
      </c>
      <c r="O43" s="166">
        <f>F43-лютий!F40</f>
        <v>2585.52</v>
      </c>
      <c r="P43" s="165">
        <f>#N/A</f>
        <v>-214.48000000000002</v>
      </c>
      <c r="Q43" s="163">
        <f>#N/A</f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>#N/A</f>
        <v>53.08</v>
      </c>
      <c r="H44" s="162">
        <f>F44/E44*100</f>
        <v>379.36842105263156</v>
      </c>
      <c r="I44" s="163">
        <f>#N/A</f>
        <v>32.08</v>
      </c>
      <c r="J44" s="163">
        <f>#N/A</f>
        <v>180.20000000000002</v>
      </c>
      <c r="K44" s="163">
        <v>26.96</v>
      </c>
      <c r="L44" s="163">
        <f>#N/A</f>
        <v>45.12</v>
      </c>
      <c r="M44" s="216">
        <f>#N/A</f>
        <v>2.6735905044510386</v>
      </c>
      <c r="N44" s="162">
        <f>E44-лютий!E41</f>
        <v>3</v>
      </c>
      <c r="O44" s="166">
        <f>F44-лютий!F41</f>
        <v>15</v>
      </c>
      <c r="P44" s="165">
        <f>#N/A</f>
        <v>12</v>
      </c>
      <c r="Q44" s="163">
        <f>#N/A</f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>#N/A</f>
        <v>2.03</v>
      </c>
      <c r="H45" s="162" t="e">
        <f>F45/E45*100</f>
        <v>#DIV/0!</v>
      </c>
      <c r="I45" s="163">
        <f>#N/A</f>
        <v>2.03</v>
      </c>
      <c r="J45" s="163" t="e">
        <f>#N/A</f>
        <v>#DIV/0!</v>
      </c>
      <c r="K45" s="163">
        <v>0.1</v>
      </c>
      <c r="L45" s="163">
        <f>#N/A</f>
        <v>1.9299999999999997</v>
      </c>
      <c r="M45" s="216">
        <f>#N/A</f>
        <v>20.299999999999997</v>
      </c>
      <c r="N45" s="162">
        <f>E45-лютий!E42</f>
        <v>0</v>
      </c>
      <c r="O45" s="166">
        <f>F45-лютий!F42</f>
        <v>0</v>
      </c>
      <c r="P45" s="165">
        <f>#N/A</f>
        <v>0</v>
      </c>
      <c r="Q45" s="163" t="e">
        <f>#N/A</f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>#N/A</f>
        <v>215.76</v>
      </c>
      <c r="H46" s="162">
        <f>#N/A</f>
        <v>447.99999999999994</v>
      </c>
      <c r="I46" s="163">
        <f>#N/A</f>
        <v>17.75999999999999</v>
      </c>
      <c r="J46" s="163">
        <f>#N/A</f>
        <v>106.83076923076922</v>
      </c>
      <c r="K46" s="163">
        <v>20.4</v>
      </c>
      <c r="L46" s="163">
        <f>#N/A</f>
        <v>257.36</v>
      </c>
      <c r="M46" s="216">
        <f>#N/A</f>
        <v>13.615686274509805</v>
      </c>
      <c r="N46" s="162">
        <f>E46-лютий!E43</f>
        <v>22</v>
      </c>
      <c r="O46" s="166">
        <f>F46-лютий!F43</f>
        <v>195.68</v>
      </c>
      <c r="P46" s="165">
        <f>#N/A</f>
        <v>173.68</v>
      </c>
      <c r="Q46" s="163">
        <f>#N/A</f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>#N/A</f>
        <v>-26.689999999999998</v>
      </c>
      <c r="H47" s="162">
        <f>#N/A</f>
        <v>1.875</v>
      </c>
      <c r="I47" s="163">
        <f>#N/A</f>
        <v>-96.99</v>
      </c>
      <c r="J47" s="163">
        <f>#N/A</f>
        <v>0.5230769230769231</v>
      </c>
      <c r="K47" s="163">
        <v>0</v>
      </c>
      <c r="L47" s="163">
        <f>#N/A</f>
        <v>0.51</v>
      </c>
      <c r="M47" s="216"/>
      <c r="N47" s="162">
        <f>E47-лютий!E44</f>
        <v>13.6</v>
      </c>
      <c r="O47" s="166">
        <f>F47-лютий!F44</f>
        <v>0.51</v>
      </c>
      <c r="P47" s="165">
        <f>#N/A</f>
        <v>-13.09</v>
      </c>
      <c r="Q47" s="163">
        <f>#N/A</f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>#N/A</f>
        <v>20.94999999999999</v>
      </c>
      <c r="H48" s="162">
        <f>#N/A</f>
        <v>107.48214285714286</v>
      </c>
      <c r="I48" s="163">
        <f>#N/A</f>
        <v>-429.05</v>
      </c>
      <c r="J48" s="163">
        <f>#N/A</f>
        <v>41.226027397260275</v>
      </c>
      <c r="K48" s="163">
        <v>0</v>
      </c>
      <c r="L48" s="163">
        <f>#N/A</f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>#N/A</f>
        <v>-51.44</v>
      </c>
      <c r="Q48" s="163">
        <f>#N/A</f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>#N/A</f>
        <v>0</v>
      </c>
      <c r="M49" s="216" t="e">
        <f>#N/A</f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>#N/A</f>
        <v>244.94000000000005</v>
      </c>
      <c r="H50" s="162">
        <f>#N/A</f>
        <v>107.33353293413175</v>
      </c>
      <c r="I50" s="163">
        <f>#N/A</f>
        <v>-7415.0599999999995</v>
      </c>
      <c r="J50" s="163">
        <f>#N/A</f>
        <v>32.59036363636364</v>
      </c>
      <c r="K50" s="163">
        <v>2339.58</v>
      </c>
      <c r="L50" s="163">
        <f>#N/A</f>
        <v>1245.3600000000001</v>
      </c>
      <c r="M50" s="216">
        <f>#N/A</f>
        <v>1.5323006693509091</v>
      </c>
      <c r="N50" s="162">
        <f>E50-лютий!E47</f>
        <v>1940</v>
      </c>
      <c r="O50" s="166">
        <f>F50-лютий!F47</f>
        <v>1441.2200000000003</v>
      </c>
      <c r="P50" s="165">
        <f>#N/A</f>
        <v>-498.77999999999975</v>
      </c>
      <c r="Q50" s="163">
        <f>#N/A</f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>#N/A</f>
        <v>60.19999999999999</v>
      </c>
      <c r="H51" s="162">
        <f>#N/A</f>
        <v>180.26666666666665</v>
      </c>
      <c r="I51" s="163">
        <f>#N/A</f>
        <v>-174.8</v>
      </c>
      <c r="J51" s="163">
        <f>#N/A</f>
        <v>43.61290322580645</v>
      </c>
      <c r="K51" s="163">
        <v>1.2</v>
      </c>
      <c r="L51" s="163">
        <f>#N/A</f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>#N/A</f>
        <v>19.75999999999999</v>
      </c>
      <c r="Q51" s="163">
        <f>#N/A</f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>#N/A</f>
        <v>1</v>
      </c>
      <c r="H52" s="162">
        <f>#N/A</f>
        <v>133.33333333333331</v>
      </c>
      <c r="I52" s="163">
        <f>#N/A</f>
        <v>-16</v>
      </c>
      <c r="J52" s="163">
        <f>#N/A</f>
        <v>20</v>
      </c>
      <c r="K52" s="163">
        <v>0</v>
      </c>
      <c r="L52" s="163">
        <f>#N/A</f>
        <v>4</v>
      </c>
      <c r="M52" s="216"/>
      <c r="N52" s="162">
        <f>E52-лютий!E49</f>
        <v>1</v>
      </c>
      <c r="O52" s="166">
        <f>F52-лютий!F49</f>
        <v>4</v>
      </c>
      <c r="P52" s="165">
        <f>#N/A</f>
        <v>3</v>
      </c>
      <c r="Q52" s="163">
        <f>#N/A</f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>#N/A</f>
        <v>-194.91000000000008</v>
      </c>
      <c r="H53" s="162">
        <f>#N/A</f>
        <v>89.29065934065935</v>
      </c>
      <c r="I53" s="163">
        <f>#N/A</f>
        <v>-5649.91</v>
      </c>
      <c r="J53" s="163">
        <f>#N/A</f>
        <v>22.33800687285223</v>
      </c>
      <c r="K53" s="163">
        <v>2001.53</v>
      </c>
      <c r="L53" s="163">
        <f>#N/A</f>
        <v>-376.44000000000005</v>
      </c>
      <c r="M53" s="216">
        <f>#N/A</f>
        <v>0.8119238782331516</v>
      </c>
      <c r="N53" s="162">
        <f>E53-лютий!E50</f>
        <v>620</v>
      </c>
      <c r="O53" s="166">
        <f>F53-лютий!F50</f>
        <v>461.74</v>
      </c>
      <c r="P53" s="165">
        <f>#N/A</f>
        <v>-158.26</v>
      </c>
      <c r="Q53" s="163">
        <f>#N/A</f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>#N/A</f>
        <v>11</v>
      </c>
      <c r="H54" s="162">
        <f>#N/A</f>
        <v>104.68085106382978</v>
      </c>
      <c r="I54" s="163">
        <f>#N/A</f>
        <v>-954</v>
      </c>
      <c r="J54" s="163">
        <f>#N/A</f>
        <v>20.5</v>
      </c>
      <c r="K54" s="163">
        <v>1500.1</v>
      </c>
      <c r="L54" s="163">
        <f>#N/A</f>
        <v>-1254.1</v>
      </c>
      <c r="M54" s="216">
        <f>#N/A</f>
        <v>0.16398906739550698</v>
      </c>
      <c r="N54" s="162">
        <f>E54-лютий!E51</f>
        <v>95</v>
      </c>
      <c r="O54" s="166">
        <f>F54-лютий!F51</f>
        <v>156.95</v>
      </c>
      <c r="P54" s="165">
        <f>#N/A</f>
        <v>61.94999999999999</v>
      </c>
      <c r="Q54" s="163">
        <f>#N/A</f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>#N/A</f>
        <v>30.939999999999998</v>
      </c>
      <c r="H55" s="29">
        <f>#N/A</f>
        <v>116.28421052631579</v>
      </c>
      <c r="I55" s="103">
        <f>#N/A</f>
        <v>-777.06</v>
      </c>
      <c r="J55" s="103">
        <f>#N/A</f>
        <v>22.138276553106213</v>
      </c>
      <c r="K55" s="103">
        <v>163.68</v>
      </c>
      <c r="L55" s="103">
        <f>F55-K55</f>
        <v>57.25999999999999</v>
      </c>
      <c r="M55" s="108">
        <f>#N/A</f>
        <v>1.3498289345063539</v>
      </c>
      <c r="N55" s="104">
        <f>E55-лютий!E52</f>
        <v>80</v>
      </c>
      <c r="O55" s="142">
        <f>F55-лютий!F52</f>
        <v>147.23000000000002</v>
      </c>
      <c r="P55" s="105">
        <f>#N/A</f>
        <v>67.23000000000002</v>
      </c>
      <c r="Q55" s="118">
        <f>#N/A</f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>#N/A</f>
        <v>0.1</v>
      </c>
      <c r="H56" s="29" t="e">
        <f>#N/A</f>
        <v>#DIV/0!</v>
      </c>
      <c r="I56" s="103">
        <f>#N/A</f>
        <v>-0.9</v>
      </c>
      <c r="J56" s="103">
        <f>#N/A</f>
        <v>10</v>
      </c>
      <c r="K56" s="103">
        <v>0.12</v>
      </c>
      <c r="L56" s="103">
        <f>F56-K56</f>
        <v>-0.01999999999999999</v>
      </c>
      <c r="M56" s="108">
        <f>#N/A</f>
        <v>0.8333333333333334</v>
      </c>
      <c r="N56" s="104">
        <f>E56-лютий!E53</f>
        <v>0</v>
      </c>
      <c r="O56" s="142">
        <f>F56-лютий!F53</f>
        <v>0</v>
      </c>
      <c r="P56" s="105">
        <f>#N/A</f>
        <v>0</v>
      </c>
      <c r="Q56" s="118" t="e">
        <f>#N/A</f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>#N/A</f>
        <v>0</v>
      </c>
      <c r="H57" s="29"/>
      <c r="I57" s="103">
        <f>#N/A</f>
        <v>-1</v>
      </c>
      <c r="J57" s="103">
        <f>#N/A</f>
        <v>0</v>
      </c>
      <c r="K57" s="103">
        <v>0</v>
      </c>
      <c r="L57" s="103">
        <f>F57-K57</f>
        <v>0</v>
      </c>
      <c r="M57" s="108" t="e">
        <f>#N/A</f>
        <v>#DIV/0!</v>
      </c>
      <c r="N57" s="104">
        <f>E57-лютий!E54</f>
        <v>0</v>
      </c>
      <c r="O57" s="142">
        <f>F57-лютий!F54</f>
        <v>0</v>
      </c>
      <c r="P57" s="105">
        <f>#N/A</f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>#N/A</f>
        <v>-20.04</v>
      </c>
      <c r="H58" s="29">
        <f>#N/A</f>
        <v>55.46666666666666</v>
      </c>
      <c r="I58" s="103">
        <f>#N/A</f>
        <v>-175.04</v>
      </c>
      <c r="J58" s="103">
        <f>#N/A</f>
        <v>12.48</v>
      </c>
      <c r="K58" s="103">
        <v>1336.3</v>
      </c>
      <c r="L58" s="103">
        <f>F58-K58</f>
        <v>-1311.34</v>
      </c>
      <c r="M58" s="108">
        <f>#N/A</f>
        <v>0.018678440469954354</v>
      </c>
      <c r="N58" s="104">
        <f>E58-лютий!E55</f>
        <v>15</v>
      </c>
      <c r="O58" s="142">
        <f>F58-лютий!F55</f>
        <v>9.72</v>
      </c>
      <c r="P58" s="105">
        <f>#N/A</f>
        <v>-5.279999999999999</v>
      </c>
      <c r="Q58" s="118">
        <f>#N/A</f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>#N/A</f>
        <v>-0.45999999999999996</v>
      </c>
      <c r="H59" s="162"/>
      <c r="I59" s="163">
        <f>#N/A</f>
        <v>-0.45999999999999996</v>
      </c>
      <c r="J59" s="163">
        <f>#N/A</f>
        <v>81.60000000000001</v>
      </c>
      <c r="K59" s="163">
        <v>2.46</v>
      </c>
      <c r="L59" s="163">
        <f>F59-K59</f>
        <v>-0.41999999999999993</v>
      </c>
      <c r="M59" s="216">
        <f>#N/A</f>
        <v>0.8292682926829269</v>
      </c>
      <c r="N59" s="162">
        <f>E59-лютий!E56</f>
        <v>0</v>
      </c>
      <c r="O59" s="166">
        <f>F59-лютий!F56</f>
        <v>0.3700000000000001</v>
      </c>
      <c r="P59" s="165">
        <f>#N/A</f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>#N/A</f>
        <v>15.730000000000018</v>
      </c>
      <c r="H60" s="162">
        <f>#N/A</f>
        <v>100.5140522875817</v>
      </c>
      <c r="I60" s="163">
        <f>#N/A</f>
        <v>-4274.27</v>
      </c>
      <c r="J60" s="163">
        <f>#N/A</f>
        <v>41.846666666666664</v>
      </c>
      <c r="K60" s="163">
        <v>1114.84</v>
      </c>
      <c r="L60" s="163">
        <f>#N/A</f>
        <v>1960.89</v>
      </c>
      <c r="M60" s="216">
        <f>#N/A</f>
        <v>2.7588981378493775</v>
      </c>
      <c r="N60" s="162">
        <f>E60-лютий!E57</f>
        <v>860</v>
      </c>
      <c r="O60" s="166">
        <f>F60-лютий!F57</f>
        <v>364.3000000000002</v>
      </c>
      <c r="P60" s="165">
        <f>#N/A</f>
        <v>-495.6999999999998</v>
      </c>
      <c r="Q60" s="163">
        <f>#N/A</f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>#N/A</f>
        <v>0</v>
      </c>
      <c r="H61" s="162" t="e">
        <f>#N/A</f>
        <v>#DIV/0!</v>
      </c>
      <c r="I61" s="163">
        <f>#N/A</f>
        <v>0</v>
      </c>
      <c r="J61" s="163" t="e">
        <f>#N/A</f>
        <v>#DIV/0!</v>
      </c>
      <c r="K61" s="163"/>
      <c r="L61" s="163">
        <f>#N/A</f>
        <v>0</v>
      </c>
      <c r="M61" s="216" t="e">
        <f>#N/A</f>
        <v>#DIV/0!</v>
      </c>
      <c r="N61" s="162">
        <f>E61-лютий!E58</f>
        <v>0</v>
      </c>
      <c r="O61" s="166">
        <f>F61-лютий!F58</f>
        <v>0</v>
      </c>
      <c r="P61" s="165">
        <f>#N/A</f>
        <v>0</v>
      </c>
      <c r="Q61" s="163" t="e">
        <f>#N/A</f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>#N/A</f>
        <v>197.29000000000002</v>
      </c>
      <c r="M62" s="216">
        <f>#N/A</f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>#N/A</f>
        <v>0</v>
      </c>
      <c r="H63" s="162"/>
      <c r="I63" s="163">
        <f>#N/A</f>
        <v>0</v>
      </c>
      <c r="J63" s="163"/>
      <c r="K63" s="164"/>
      <c r="L63" s="163">
        <f>#N/A</f>
        <v>0</v>
      </c>
      <c r="M63" s="216" t="e">
        <f>#N/A</f>
        <v>#DIV/0!</v>
      </c>
      <c r="N63" s="162">
        <f>E63-лютий!E60</f>
        <v>0</v>
      </c>
      <c r="O63" s="166">
        <f>F63-лютий!F60</f>
        <v>0</v>
      </c>
      <c r="P63" s="165">
        <f>#N/A</f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>#N/A</f>
        <v>22.89</v>
      </c>
      <c r="H64" s="162">
        <f>#N/A</f>
        <v>328.90000000000003</v>
      </c>
      <c r="I64" s="163">
        <f>#N/A</f>
        <v>-127.11</v>
      </c>
      <c r="J64" s="163">
        <f>#N/A</f>
        <v>20.556250000000002</v>
      </c>
      <c r="K64" s="163">
        <v>33.09</v>
      </c>
      <c r="L64" s="163">
        <f>#N/A</f>
        <v>-0.20000000000000284</v>
      </c>
      <c r="M64" s="216">
        <f>#N/A</f>
        <v>0.9939558779087336</v>
      </c>
      <c r="N64" s="162">
        <f>E64-лютий!E61</f>
        <v>0</v>
      </c>
      <c r="O64" s="166">
        <f>F64-лютий!F61</f>
        <v>0</v>
      </c>
      <c r="P64" s="165">
        <f>#N/A</f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>#N/A</f>
        <v>10.57</v>
      </c>
      <c r="H65" s="162">
        <f>#N/A</f>
        <v>385.6756756756757</v>
      </c>
      <c r="I65" s="163">
        <f>#N/A</f>
        <v>-0.7300000000000004</v>
      </c>
      <c r="J65" s="163">
        <f>#N/A</f>
        <v>95.13333333333333</v>
      </c>
      <c r="K65" s="163">
        <v>5.8</v>
      </c>
      <c r="L65" s="163">
        <f>#N/A</f>
        <v>8.469999999999999</v>
      </c>
      <c r="M65" s="216">
        <f>#N/A</f>
        <v>2.4603448275862068</v>
      </c>
      <c r="N65" s="162">
        <f>E65-лютий!E62</f>
        <v>1.2000000000000002</v>
      </c>
      <c r="O65" s="166">
        <f>F65-лютий!F62</f>
        <v>5.67</v>
      </c>
      <c r="P65" s="165">
        <f>#N/A</f>
        <v>4.47</v>
      </c>
      <c r="Q65" s="163">
        <f>#N/A</f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>#N/A</f>
        <v>-5.33</v>
      </c>
      <c r="H66" s="162"/>
      <c r="I66" s="163">
        <f>#N/A</f>
        <v>-5.33</v>
      </c>
      <c r="J66" s="163"/>
      <c r="K66" s="163">
        <v>0</v>
      </c>
      <c r="L66" s="163">
        <f>#N/A</f>
        <v>-5.33</v>
      </c>
      <c r="M66" s="216" t="e">
        <f>#N/A</f>
        <v>#DIV/0!</v>
      </c>
      <c r="N66" s="162">
        <f>E66-лютий!E63</f>
        <v>0</v>
      </c>
      <c r="O66" s="166">
        <f>F66-лютий!F63</f>
        <v>0</v>
      </c>
      <c r="P66" s="165">
        <f>#N/A</f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>#N/A</f>
        <v>35.57</v>
      </c>
      <c r="H75" s="184"/>
      <c r="I75" s="185">
        <f>#N/A</f>
        <v>35.57</v>
      </c>
      <c r="J75" s="185"/>
      <c r="K75" s="185">
        <v>0</v>
      </c>
      <c r="L75" s="185">
        <f>#N/A</f>
        <v>35.57</v>
      </c>
      <c r="M75" s="185"/>
      <c r="N75" s="184">
        <f>E75-лютий!E72</f>
        <v>0</v>
      </c>
      <c r="O75" s="286">
        <f>F75-лютий!F72</f>
        <v>8.91</v>
      </c>
      <c r="P75" s="185">
        <f>#N/A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>#N/A</f>
        <v>0.11</v>
      </c>
      <c r="H76" s="162"/>
      <c r="I76" s="165">
        <f>#N/A</f>
        <v>-104205.92</v>
      </c>
      <c r="J76" s="165">
        <f>F76/D76*100</f>
        <v>0.00010556011010111412</v>
      </c>
      <c r="K76" s="165">
        <v>0.15</v>
      </c>
      <c r="L76" s="165">
        <f>#N/A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>#N/A</f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>#N/A</f>
        <v>-4662.8</v>
      </c>
      <c r="H77" s="162">
        <f>F77/E77*100</f>
        <v>3.461697722567288</v>
      </c>
      <c r="I77" s="165">
        <f>#N/A</f>
        <v>-53832.8</v>
      </c>
      <c r="J77" s="165">
        <f>F77/D77*100</f>
        <v>0.30962962962962964</v>
      </c>
      <c r="K77" s="165">
        <v>318.64</v>
      </c>
      <c r="L77" s="165">
        <f>#N/A</f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>#N/A</f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>#N/A</f>
        <v>-3435.76</v>
      </c>
      <c r="H78" s="162">
        <f>F78/E78*100</f>
        <v>26.112688172043008</v>
      </c>
      <c r="I78" s="165">
        <f>#N/A</f>
        <v>-77785.76</v>
      </c>
      <c r="J78" s="165">
        <f>F78/D78*100</f>
        <v>1.5370126582278483</v>
      </c>
      <c r="K78" s="165">
        <v>7957.09</v>
      </c>
      <c r="L78" s="165">
        <f>#N/A</f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>#N/A</f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>#N/A</f>
        <v>0</v>
      </c>
      <c r="H79" s="162">
        <f>F79/E79*100</f>
        <v>100</v>
      </c>
      <c r="I79" s="165">
        <f>#N/A</f>
        <v>-9</v>
      </c>
      <c r="J79" s="165">
        <f>F79/D79*100</f>
        <v>25</v>
      </c>
      <c r="K79" s="165">
        <v>3</v>
      </c>
      <c r="L79" s="165">
        <f>#N/A</f>
        <v>0</v>
      </c>
      <c r="M79" s="207"/>
      <c r="N79" s="162">
        <f>E79-лютий!E76</f>
        <v>1</v>
      </c>
      <c r="O79" s="166">
        <f>F79-лютий!F76</f>
        <v>1</v>
      </c>
      <c r="P79" s="165">
        <f>#N/A</f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>#N/A</f>
        <v>-8098.45</v>
      </c>
      <c r="H80" s="184">
        <f>F80/E80*100</f>
        <v>14.60033744595592</v>
      </c>
      <c r="I80" s="185">
        <f>#N/A</f>
        <v>-235833.48</v>
      </c>
      <c r="J80" s="185">
        <f>F80/D80*100</f>
        <v>0.5836613684044167</v>
      </c>
      <c r="K80" s="185">
        <v>8278.87</v>
      </c>
      <c r="L80" s="185">
        <f>#N/A</f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>#N/A</f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>#N/A</f>
        <v>8.28</v>
      </c>
      <c r="H81" s="162"/>
      <c r="I81" s="165">
        <f>#N/A</f>
        <v>-31.22</v>
      </c>
      <c r="J81" s="165"/>
      <c r="K81" s="165">
        <v>0.44</v>
      </c>
      <c r="L81" s="165">
        <f>#N/A</f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>#N/A</f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>#N/A</f>
        <v>0</v>
      </c>
      <c r="H82" s="162"/>
      <c r="I82" s="165">
        <f>#N/A</f>
        <v>0</v>
      </c>
      <c r="J82" s="188"/>
      <c r="K82" s="165">
        <v>0</v>
      </c>
      <c r="L82" s="165">
        <f>#N/A</f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>#N/A</f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>#N/A</f>
        <v>-138.35000000000036</v>
      </c>
      <c r="H83" s="162">
        <f>F83/E83*100</f>
        <v>94.12850655689002</v>
      </c>
      <c r="I83" s="165">
        <f>#N/A</f>
        <v>-6142.05</v>
      </c>
      <c r="J83" s="165">
        <f>F83/D83*100</f>
        <v>26.530502392344495</v>
      </c>
      <c r="K83" s="165">
        <v>2019</v>
      </c>
      <c r="L83" s="165">
        <f>#N/A</f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>#N/A</f>
        <v>0.03</v>
      </c>
      <c r="H84" s="162"/>
      <c r="I84" s="165">
        <f>#N/A</f>
        <v>0.03</v>
      </c>
      <c r="J84" s="165"/>
      <c r="K84" s="165">
        <v>0.4</v>
      </c>
      <c r="L84" s="165">
        <f>#N/A</f>
        <v>-0.37</v>
      </c>
      <c r="M84" s="207">
        <f>#N/A</f>
        <v>0.075</v>
      </c>
      <c r="N84" s="162">
        <f>E84-лютий!E81</f>
        <v>0</v>
      </c>
      <c r="O84" s="166">
        <f>F84-лютий!F81</f>
        <v>0</v>
      </c>
      <c r="P84" s="165">
        <f>#N/A</f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>#N/A</f>
        <v>-6173.24</v>
      </c>
      <c r="J85" s="185">
        <f>F85/D85*100</f>
        <v>26.509047619047614</v>
      </c>
      <c r="K85" s="185">
        <v>2019.85</v>
      </c>
      <c r="L85" s="185">
        <f>#N/A</f>
        <v>206.90999999999985</v>
      </c>
      <c r="M85" s="218">
        <f>#N/A</f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>#N/A</f>
        <v>-5.78</v>
      </c>
      <c r="H86" s="162">
        <f>F86/E86*100</f>
        <v>55.19379844961241</v>
      </c>
      <c r="I86" s="165">
        <f>#N/A</f>
        <v>-30.88</v>
      </c>
      <c r="J86" s="165">
        <f>F86/D86*100</f>
        <v>18.736842105263158</v>
      </c>
      <c r="K86" s="165">
        <v>9.19</v>
      </c>
      <c r="L86" s="165">
        <f>#N/A</f>
        <v>-2.0699999999999994</v>
      </c>
      <c r="M86" s="207">
        <f>#N/A</f>
        <v>0.7747551686615888</v>
      </c>
      <c r="N86" s="162">
        <f>E86-лютий!E83</f>
        <v>8</v>
      </c>
      <c r="O86" s="166">
        <f>F86-лютий!F83</f>
        <v>6.16</v>
      </c>
      <c r="P86" s="165">
        <f>#N/A</f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>#N/A</f>
        <v>0</v>
      </c>
      <c r="H87" s="162"/>
      <c r="I87" s="165">
        <f>#N/A</f>
        <v>0</v>
      </c>
      <c r="J87" s="165"/>
      <c r="K87" s="165">
        <v>0</v>
      </c>
      <c r="L87" s="165">
        <f>#N/A</f>
        <v>0</v>
      </c>
      <c r="M87" s="165"/>
      <c r="N87" s="162">
        <f>E87-лютий!E84</f>
        <v>0</v>
      </c>
      <c r="O87" s="166">
        <f>F87-лютий!F84</f>
        <v>0</v>
      </c>
      <c r="P87" s="165">
        <f>#N/A</f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>#N/A</f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>#N/A</f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>#N/A</f>
        <v>1.348001905938734</v>
      </c>
      <c r="N89" s="190">
        <f>N67+N88</f>
        <v>110300.6</v>
      </c>
      <c r="O89" s="190">
        <f>O67+O88</f>
        <v>104149.96999999997</v>
      </c>
      <c r="P89" s="192">
        <f>#N/A</f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25"/>
      <c r="H92" s="325"/>
      <c r="I92" s="325"/>
      <c r="J92" s="325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13"/>
      <c r="P93" s="313"/>
    </row>
    <row r="94" spans="3:16" ht="15">
      <c r="C94" s="80">
        <v>42824</v>
      </c>
      <c r="D94" s="28">
        <v>11112.7</v>
      </c>
      <c r="F94" s="112" t="s">
        <v>58</v>
      </c>
      <c r="G94" s="309"/>
      <c r="H94" s="309"/>
      <c r="I94" s="117"/>
      <c r="J94" s="346"/>
      <c r="K94" s="346"/>
      <c r="L94" s="346"/>
      <c r="M94" s="346"/>
      <c r="N94" s="346"/>
      <c r="O94" s="313"/>
      <c r="P94" s="313"/>
    </row>
    <row r="95" spans="3:16" ht="15.75" customHeight="1">
      <c r="C95" s="80">
        <v>42823</v>
      </c>
      <c r="D95" s="28">
        <v>8830.3</v>
      </c>
      <c r="F95" s="67"/>
      <c r="G95" s="309"/>
      <c r="H95" s="309"/>
      <c r="I95" s="117"/>
      <c r="J95" s="347"/>
      <c r="K95" s="347"/>
      <c r="L95" s="347"/>
      <c r="M95" s="347"/>
      <c r="N95" s="347"/>
      <c r="O95" s="313"/>
      <c r="P95" s="313"/>
    </row>
    <row r="96" spans="3:14" ht="15.75" customHeight="1">
      <c r="C96" s="80"/>
      <c r="F96" s="67"/>
      <c r="G96" s="314"/>
      <c r="H96" s="314"/>
      <c r="I96" s="123"/>
      <c r="J96" s="346"/>
      <c r="K96" s="346"/>
      <c r="L96" s="346"/>
      <c r="M96" s="346"/>
      <c r="N96" s="346"/>
    </row>
    <row r="97" spans="2:14" ht="18" customHeight="1">
      <c r="B97" s="315" t="s">
        <v>56</v>
      </c>
      <c r="C97" s="316"/>
      <c r="D97" s="132">
        <v>1399.2856000000002</v>
      </c>
      <c r="E97" s="68"/>
      <c r="F97" s="124" t="s">
        <v>105</v>
      </c>
      <c r="G97" s="309"/>
      <c r="H97" s="309"/>
      <c r="I97" s="125"/>
      <c r="J97" s="346"/>
      <c r="K97" s="346"/>
      <c r="L97" s="346"/>
      <c r="M97" s="346"/>
      <c r="N97" s="346"/>
    </row>
    <row r="98" spans="6:13" ht="9.75" customHeight="1">
      <c r="F98" s="67"/>
      <c r="G98" s="309"/>
      <c r="H98" s="309"/>
      <c r="I98" s="67"/>
      <c r="J98" s="68"/>
      <c r="K98" s="68"/>
      <c r="L98" s="68"/>
      <c r="M98" s="68"/>
    </row>
    <row r="99" spans="2:13" ht="22.5" customHeight="1" hidden="1">
      <c r="B99" s="310" t="s">
        <v>59</v>
      </c>
      <c r="C99" s="311"/>
      <c r="D99" s="79">
        <v>0</v>
      </c>
      <c r="E99" s="50" t="s">
        <v>24</v>
      </c>
      <c r="F99" s="67"/>
      <c r="G99" s="309"/>
      <c r="H99" s="309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12"/>
      <c r="P101" s="312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>#N/A</f>
        <v>10575.08</v>
      </c>
      <c r="L103" s="28">
        <f>#N/A</f>
        <v>3481.9100000000008</v>
      </c>
      <c r="M103" s="28">
        <f>#N/A</f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>#N/A</f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>#N/A</f>
        <v>577.429999999956</v>
      </c>
      <c r="H104" s="228">
        <f>F104/E104</f>
        <v>1.0018643869503991</v>
      </c>
      <c r="I104" s="28">
        <f>#N/A</f>
        <v>-1050056.77</v>
      </c>
      <c r="J104" s="228">
        <f>F104/D104</f>
        <v>0.22646851975677773</v>
      </c>
      <c r="K104" s="28">
        <f>#N/A</f>
        <v>10575.08</v>
      </c>
      <c r="L104" s="28">
        <f>#N/A</f>
        <v>3481.9100000000008</v>
      </c>
      <c r="M104" s="28">
        <f>#N/A</f>
        <v>23.879531548202163</v>
      </c>
      <c r="N104" s="28">
        <f>#N/A</f>
        <v>102834.8</v>
      </c>
      <c r="O104" s="227">
        <f>#N/A</f>
        <v>103902.62999999998</v>
      </c>
      <c r="P104" s="28">
        <f>#N/A</f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>#N/A</f>
        <v>0</v>
      </c>
      <c r="F105" s="28">
        <f>#N/A</f>
        <v>0</v>
      </c>
      <c r="G105" s="28">
        <f>#N/A</f>
        <v>-5.330000000037444</v>
      </c>
      <c r="H105" s="228"/>
      <c r="I105" s="28">
        <f>#N/A</f>
        <v>-5.330000000074506</v>
      </c>
      <c r="J105" s="228"/>
      <c r="K105" s="28">
        <f>#N/A</f>
        <v>209890.7</v>
      </c>
      <c r="L105" s="28">
        <f>#N/A</f>
        <v>83481.30999999994</v>
      </c>
      <c r="M105" s="28">
        <f>#N/A</f>
        <v>-22.48507931166913</v>
      </c>
      <c r="N105" s="28">
        <f>#N/A</f>
        <v>0</v>
      </c>
      <c r="O105" s="28">
        <f>#N/A</f>
        <v>0</v>
      </c>
      <c r="P105" s="28">
        <f>#N/A</f>
        <v>0</v>
      </c>
      <c r="Q105" s="28"/>
      <c r="R105" s="28">
        <f>#N/A</f>
        <v>69134.62999999998</v>
      </c>
      <c r="S105" s="28">
        <f>#N/A</f>
        <v>2.988455763920846</v>
      </c>
      <c r="T105" s="28">
        <f>#N/A</f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>#N/A</f>
        <v>1222868.6900000002</v>
      </c>
      <c r="E113" s="241">
        <f>#N/A</f>
        <v>550655.6</v>
      </c>
      <c r="F113" s="241">
        <f>#N/A</f>
        <v>545829.08</v>
      </c>
      <c r="G113" s="241">
        <f>#N/A</f>
        <v>-4826.520000000019</v>
      </c>
      <c r="H113" s="241">
        <f>F113/E113*100</f>
        <v>99.12349570221387</v>
      </c>
      <c r="I113" s="35">
        <f>#N/A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>#N/A</f>
        <v>1222868.6900000002</v>
      </c>
      <c r="E114" s="241">
        <f>#N/A</f>
        <v>550655.6</v>
      </c>
      <c r="F114" s="241">
        <f>#N/A</f>
        <v>545829.08</v>
      </c>
      <c r="G114" s="241">
        <f>#N/A</f>
        <v>-4826.520000000019</v>
      </c>
      <c r="H114" s="241">
        <f>#N/A</f>
        <v>99.12349570221387</v>
      </c>
      <c r="I114" s="35">
        <f>#N/A</f>
        <v>-677039.6100000002</v>
      </c>
      <c r="J114" s="35">
        <f>#N/A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>#N/A</f>
        <v>-4826.520000000019</v>
      </c>
      <c r="H115" s="241">
        <f>#N/A</f>
        <v>99.12349570221387</v>
      </c>
      <c r="I115" s="35">
        <f>#N/A</f>
        <v>-677039.6100000002</v>
      </c>
      <c r="J115" s="35">
        <f>#N/A</f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>#N/A</f>
        <v>-3734.029999999999</v>
      </c>
      <c r="H116" s="241">
        <f>#N/A</f>
        <v>95.0108160470321</v>
      </c>
      <c r="I116" s="35">
        <f>#N/A</f>
        <v>-240704.93000000002</v>
      </c>
      <c r="J116" s="35">
        <f>#N/A</f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>#N/A</f>
        <v>-707.6699999999837</v>
      </c>
      <c r="H117" s="241">
        <f>#N/A</f>
        <v>99.80061079304002</v>
      </c>
      <c r="I117" s="35">
        <f>#N/A</f>
        <v>-54436.96000000002</v>
      </c>
      <c r="J117" s="35">
        <f>#N/A</f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>#N/A</f>
        <v>-16.159999999999997</v>
      </c>
      <c r="H118" s="241">
        <f>#N/A</f>
        <v>71.64912280701755</v>
      </c>
      <c r="I118" s="35">
        <f>#N/A</f>
        <v>-186.85999999999999</v>
      </c>
      <c r="J118" s="35">
        <f>#N/A</f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>#N/A</f>
        <v>0</v>
      </c>
      <c r="H119" s="241">
        <f>#N/A</f>
        <v>100</v>
      </c>
      <c r="I119" s="35">
        <f>#N/A</f>
        <v>-187142.9</v>
      </c>
      <c r="J119" s="35">
        <f>#N/A</f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>#N/A</f>
        <v>0</v>
      </c>
      <c r="H120" s="241">
        <f>#N/A</f>
        <v>100</v>
      </c>
      <c r="I120" s="35">
        <f>#N/A</f>
        <v>-178707.6</v>
      </c>
      <c r="J120" s="35">
        <f>#N/A</f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>#N/A</f>
        <v>-460.1399999999999</v>
      </c>
      <c r="H121" s="241">
        <f>#N/A</f>
        <v>89.02806292160552</v>
      </c>
      <c r="I121" s="35">
        <f>#N/A</f>
        <v>-12505.44</v>
      </c>
      <c r="J121" s="35">
        <f>#N/A</f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>#N/A</f>
        <v>165.7</v>
      </c>
      <c r="H122" s="241">
        <f>#N/A</f>
        <v>0</v>
      </c>
      <c r="I122" s="35">
        <f>#N/A</f>
        <v>165.7</v>
      </c>
      <c r="J122" s="35" t="e">
        <f>#N/A</f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>#N/A</f>
        <v>-74.22000000000003</v>
      </c>
      <c r="H123" s="241">
        <f>#N/A</f>
        <v>91.84305967688756</v>
      </c>
      <c r="I123" s="35">
        <f>#N/A</f>
        <v>-3520.6200000000003</v>
      </c>
      <c r="J123" s="35">
        <f>#N/A</f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>#N/A</f>
        <v>-10300.850000000093</v>
      </c>
      <c r="H124" s="274">
        <f>#N/A</f>
        <v>98.83929802661113</v>
      </c>
      <c r="I124" s="276">
        <f>#N/A</f>
        <v>-2021257.6300000001</v>
      </c>
      <c r="J124" s="276">
        <f>#N/A</f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32" t="s">
        <v>138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85"/>
      <c r="S1" s="86"/>
    </row>
    <row r="2" spans="2:19" s="1" customFormat="1" ht="15.75" customHeight="1">
      <c r="B2" s="333"/>
      <c r="C2" s="333"/>
      <c r="D2" s="333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34"/>
      <c r="B3" s="336"/>
      <c r="C3" s="337" t="s">
        <v>0</v>
      </c>
      <c r="D3" s="338" t="s">
        <v>137</v>
      </c>
      <c r="E3" s="31"/>
      <c r="F3" s="339" t="s">
        <v>26</v>
      </c>
      <c r="G3" s="340"/>
      <c r="H3" s="340"/>
      <c r="I3" s="340"/>
      <c r="J3" s="341"/>
      <c r="K3" s="82"/>
      <c r="L3" s="82"/>
      <c r="M3" s="82"/>
      <c r="N3" s="342" t="s">
        <v>131</v>
      </c>
      <c r="O3" s="343" t="s">
        <v>135</v>
      </c>
      <c r="P3" s="343"/>
      <c r="Q3" s="343"/>
      <c r="R3" s="343"/>
      <c r="S3" s="343"/>
    </row>
    <row r="4" spans="1:19" ht="22.5" customHeight="1">
      <c r="A4" s="334"/>
      <c r="B4" s="336"/>
      <c r="C4" s="337"/>
      <c r="D4" s="338"/>
      <c r="E4" s="344" t="s">
        <v>136</v>
      </c>
      <c r="F4" s="326" t="s">
        <v>33</v>
      </c>
      <c r="G4" s="317" t="s">
        <v>132</v>
      </c>
      <c r="H4" s="328" t="s">
        <v>133</v>
      </c>
      <c r="I4" s="317" t="s">
        <v>125</v>
      </c>
      <c r="J4" s="328" t="s">
        <v>126</v>
      </c>
      <c r="K4" s="84" t="s">
        <v>128</v>
      </c>
      <c r="L4" s="202" t="s">
        <v>111</v>
      </c>
      <c r="M4" s="89" t="s">
        <v>63</v>
      </c>
      <c r="N4" s="328"/>
      <c r="O4" s="330" t="s">
        <v>139</v>
      </c>
      <c r="P4" s="317" t="s">
        <v>49</v>
      </c>
      <c r="Q4" s="319" t="s">
        <v>48</v>
      </c>
      <c r="R4" s="90" t="s">
        <v>64</v>
      </c>
      <c r="S4" s="91" t="s">
        <v>63</v>
      </c>
    </row>
    <row r="5" spans="1:19" ht="67.5" customHeight="1">
      <c r="A5" s="335"/>
      <c r="B5" s="336"/>
      <c r="C5" s="337"/>
      <c r="D5" s="338"/>
      <c r="E5" s="345"/>
      <c r="F5" s="327"/>
      <c r="G5" s="318"/>
      <c r="H5" s="329"/>
      <c r="I5" s="318"/>
      <c r="J5" s="329"/>
      <c r="K5" s="320" t="s">
        <v>134</v>
      </c>
      <c r="L5" s="321"/>
      <c r="M5" s="322"/>
      <c r="N5" s="329"/>
      <c r="O5" s="331"/>
      <c r="P5" s="318"/>
      <c r="Q5" s="319"/>
      <c r="R5" s="320" t="s">
        <v>102</v>
      </c>
      <c r="S5" s="32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>#N/A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>#N/A</f>
        <v>54408.45000000004</v>
      </c>
      <c r="M8" s="203">
        <f>#N/A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>#N/A</f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>#N/A</f>
        <v>31561.339999999997</v>
      </c>
      <c r="M9" s="204">
        <f>#N/A</f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>#N/A</f>
        <v>378.6399999999994</v>
      </c>
      <c r="H10" s="29">
        <f>#N/A</f>
        <v>100.4100142937584</v>
      </c>
      <c r="I10" s="103">
        <f>#N/A</f>
        <v>-608590.36</v>
      </c>
      <c r="J10" s="103">
        <f>#N/A</f>
        <v>13.22178700929822</v>
      </c>
      <c r="K10" s="105">
        <v>62213.95</v>
      </c>
      <c r="L10" s="105">
        <f>#N/A</f>
        <v>30512.690000000002</v>
      </c>
      <c r="M10" s="205">
        <f>#N/A</f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>#N/A</f>
        <v>519.7099999999991</v>
      </c>
      <c r="Q10" s="103">
        <f>#N/A</f>
        <v>101.05924914397522</v>
      </c>
      <c r="R10" s="36"/>
      <c r="S10" s="93"/>
      <c r="T10" s="145">
        <f>#N/A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>#N/A</f>
        <v>-1304.7399999999998</v>
      </c>
      <c r="H11" s="29">
        <f>#N/A</f>
        <v>81.87861111111111</v>
      </c>
      <c r="I11" s="103">
        <f>#N/A</f>
        <v>-40610.74</v>
      </c>
      <c r="J11" s="103">
        <f>#N/A</f>
        <v>12.676342837483338</v>
      </c>
      <c r="K11" s="105">
        <v>5319.16</v>
      </c>
      <c r="L11" s="105">
        <f>#N/A</f>
        <v>576.1000000000004</v>
      </c>
      <c r="M11" s="205">
        <f>#N/A</f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>#N/A</f>
        <v>-386.4399999999996</v>
      </c>
      <c r="Q11" s="103">
        <f>#N/A</f>
        <v>89.26555555555557</v>
      </c>
      <c r="R11" s="36"/>
      <c r="S11" s="93"/>
      <c r="T11" s="145">
        <f>#N/A</f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>#N/A</f>
        <v>197.42000000000007</v>
      </c>
      <c r="H12" s="29">
        <f>#N/A</f>
        <v>123.50238095238095</v>
      </c>
      <c r="I12" s="103">
        <f>#N/A</f>
        <v>-7242.58</v>
      </c>
      <c r="J12" s="103">
        <f>#N/A</f>
        <v>12.529227053140096</v>
      </c>
      <c r="K12" s="105">
        <v>822.03</v>
      </c>
      <c r="L12" s="105">
        <f>#N/A</f>
        <v>215.3900000000001</v>
      </c>
      <c r="M12" s="205">
        <f>#N/A</f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>#N/A</f>
        <v>116.99000000000001</v>
      </c>
      <c r="Q12" s="103">
        <f>#N/A</f>
        <v>127.8547619047619</v>
      </c>
      <c r="R12" s="36"/>
      <c r="S12" s="93"/>
      <c r="T12" s="145">
        <f>#N/A</f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>#N/A</f>
        <v>408.31999999999994</v>
      </c>
      <c r="H13" s="29">
        <f>#N/A</f>
        <v>125.20493827160493</v>
      </c>
      <c r="I13" s="103">
        <f>#N/A</f>
        <v>-7361.68</v>
      </c>
      <c r="J13" s="103">
        <f>#N/A</f>
        <v>21.600851970181044</v>
      </c>
      <c r="K13" s="105">
        <v>1514.49</v>
      </c>
      <c r="L13" s="105">
        <f>#N/A</f>
        <v>513.8299999999999</v>
      </c>
      <c r="M13" s="205">
        <f>#N/A</f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>#N/A</f>
        <v>208.96000000000004</v>
      </c>
      <c r="Q13" s="103">
        <f>#N/A</f>
        <v>115.83030303030304</v>
      </c>
      <c r="R13" s="36"/>
      <c r="S13" s="93"/>
      <c r="T13" s="145">
        <f>#N/A</f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>#N/A</f>
        <v>6.310000000000002</v>
      </c>
      <c r="H14" s="29">
        <f>#N/A</f>
        <v>103.28645833333334</v>
      </c>
      <c r="I14" s="103">
        <f>#N/A</f>
        <v>-953.69</v>
      </c>
      <c r="J14" s="103">
        <f>#N/A</f>
        <v>17.214409722222225</v>
      </c>
      <c r="K14" s="105">
        <v>454.97</v>
      </c>
      <c r="L14" s="105">
        <f>#N/A</f>
        <v>-256.66</v>
      </c>
      <c r="M14" s="205">
        <f>#N/A</f>
        <v>0.435874892850078</v>
      </c>
      <c r="N14" s="104">
        <f>E14-'січень 17'!E14</f>
        <v>96</v>
      </c>
      <c r="O14" s="142">
        <f>F14-'січень 17'!F14</f>
        <v>97.81</v>
      </c>
      <c r="P14" s="105">
        <f>#N/A</f>
        <v>1.8100000000000023</v>
      </c>
      <c r="Q14" s="103">
        <f>#N/A</f>
        <v>101.88541666666666</v>
      </c>
      <c r="R14" s="36"/>
      <c r="S14" s="93"/>
      <c r="T14" s="145">
        <f>#N/A</f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>#N/A</f>
        <v>-37.09</v>
      </c>
      <c r="H15" s="155">
        <f>F15/E15*100</f>
        <v>27.27450980392157</v>
      </c>
      <c r="I15" s="156">
        <f>#N/A</f>
        <v>-537.09</v>
      </c>
      <c r="J15" s="156">
        <f>#N/A</f>
        <v>2.5245009074410163</v>
      </c>
      <c r="K15" s="159">
        <v>85.14</v>
      </c>
      <c r="L15" s="159">
        <f>#N/A</f>
        <v>-71.23</v>
      </c>
      <c r="M15" s="206">
        <f>#N/A</f>
        <v>0.1633779657035471</v>
      </c>
      <c r="N15" s="135">
        <f>E15-'січень 17'!E15</f>
        <v>51</v>
      </c>
      <c r="O15" s="143">
        <f>F15-'січень 17'!F15</f>
        <v>13.91</v>
      </c>
      <c r="P15" s="159">
        <f>#N/A</f>
        <v>-37.09</v>
      </c>
      <c r="Q15" s="156">
        <f>#N/A</f>
        <v>27.27450980392157</v>
      </c>
      <c r="R15" s="36"/>
      <c r="S15" s="93"/>
      <c r="T15" s="145">
        <f>#N/A</f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>#N/A</f>
        <v>0</v>
      </c>
      <c r="H16" s="155" t="e">
        <f>F16/E16/100</f>
        <v>#DIV/0!</v>
      </c>
      <c r="I16" s="36">
        <f>#N/A</f>
        <v>0</v>
      </c>
      <c r="J16" s="36" t="e">
        <f>#N/A</f>
        <v>#DIV/0!</v>
      </c>
      <c r="K16" s="105">
        <v>381.9</v>
      </c>
      <c r="L16" s="159">
        <f>#N/A</f>
        <v>-381.9</v>
      </c>
      <c r="M16" s="206">
        <f>#N/A</f>
        <v>0</v>
      </c>
      <c r="N16" s="155">
        <f>E16-'січень 17'!E16</f>
        <v>0</v>
      </c>
      <c r="O16" s="158">
        <f>F16-'січень 17'!F16</f>
        <v>0</v>
      </c>
      <c r="P16" s="35">
        <f>#N/A</f>
        <v>0</v>
      </c>
      <c r="Q16" s="156" t="e">
        <f>#N/A</f>
        <v>#DIV/0!</v>
      </c>
      <c r="R16" s="103">
        <f>O16-358.81</f>
        <v>-358.81</v>
      </c>
      <c r="S16" s="108">
        <f>O16/358.79</f>
        <v>0</v>
      </c>
      <c r="T16" s="145">
        <f>#N/A</f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>#N/A</f>
        <v>0</v>
      </c>
      <c r="H17" s="155" t="e">
        <f>F17/E17/100</f>
        <v>#DIV/0!</v>
      </c>
      <c r="I17" s="163">
        <f>#N/A</f>
        <v>0</v>
      </c>
      <c r="J17" s="163"/>
      <c r="K17" s="165">
        <v>0.14</v>
      </c>
      <c r="L17" s="159">
        <f>#N/A</f>
        <v>-0.14</v>
      </c>
      <c r="M17" s="206">
        <f>#N/A</f>
        <v>0</v>
      </c>
      <c r="N17" s="155">
        <f>E17-'січень 17'!E17</f>
        <v>0</v>
      </c>
      <c r="O17" s="158">
        <f>F17-'січень 17'!F17</f>
        <v>0</v>
      </c>
      <c r="P17" s="165">
        <f>#N/A</f>
        <v>0</v>
      </c>
      <c r="Q17" s="156" t="e">
        <f>#N/A</f>
        <v>#DIV/0!</v>
      </c>
      <c r="R17" s="103"/>
      <c r="S17" s="108"/>
      <c r="T17" s="145">
        <f>#N/A</f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>#N/A</f>
        <v>48.459999999999994</v>
      </c>
      <c r="H18" s="155">
        <f>F18/E18*100</f>
        <v>169.22857142857143</v>
      </c>
      <c r="I18" s="156">
        <f>#N/A</f>
        <v>-6.540000000000006</v>
      </c>
      <c r="J18" s="156">
        <f>#N/A</f>
        <v>94.768</v>
      </c>
      <c r="K18" s="159">
        <v>105.8</v>
      </c>
      <c r="L18" s="159">
        <f>#N/A</f>
        <v>12.659999999999997</v>
      </c>
      <c r="M18" s="206">
        <f>#N/A</f>
        <v>1.1196597353497164</v>
      </c>
      <c r="N18" s="155">
        <f>E18-'січень 17'!E18</f>
        <v>70</v>
      </c>
      <c r="O18" s="158">
        <f>F18-'січень 17'!F18</f>
        <v>118.46</v>
      </c>
      <c r="P18" s="159">
        <f>#N/A</f>
        <v>48.459999999999994</v>
      </c>
      <c r="Q18" s="156">
        <f>#N/A</f>
        <v>169.22857142857143</v>
      </c>
      <c r="R18" s="36"/>
      <c r="S18" s="93"/>
      <c r="T18" s="145">
        <f>#N/A</f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>#N/A</f>
        <v>-4294.09</v>
      </c>
      <c r="H19" s="155">
        <f>#N/A</f>
        <v>76.14394444444444</v>
      </c>
      <c r="I19" s="156">
        <f>#N/A</f>
        <v>-116294.09</v>
      </c>
      <c r="J19" s="156">
        <f>#N/A</f>
        <v>10.543007692307691</v>
      </c>
      <c r="K19" s="167">
        <v>10861</v>
      </c>
      <c r="L19" s="159">
        <f>#N/A</f>
        <v>2844.91</v>
      </c>
      <c r="M19" s="211">
        <f>#N/A</f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>#N/A</f>
        <v>-4345.84</v>
      </c>
      <c r="Q19" s="156">
        <f>#N/A</f>
        <v>47.640481927710844</v>
      </c>
      <c r="R19" s="106"/>
      <c r="S19" s="107"/>
      <c r="T19" s="145">
        <f>#N/A</f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>#N/A</f>
        <v>3182.75</v>
      </c>
      <c r="H20" s="155">
        <f>#N/A</f>
        <v>104.19199336182655</v>
      </c>
      <c r="I20" s="156">
        <f>#N/A</f>
        <v>-322022.85</v>
      </c>
      <c r="J20" s="156">
        <f>#N/A</f>
        <v>19.721095475009232</v>
      </c>
      <c r="K20" s="156">
        <v>59046.44</v>
      </c>
      <c r="L20" s="159">
        <f>#N/A</f>
        <v>20060.809999999998</v>
      </c>
      <c r="M20" s="207">
        <f>#N/A</f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>#N/A</f>
        <v>2969.959999999999</v>
      </c>
      <c r="Q20" s="156">
        <f>#N/A</f>
        <v>107.62368765562029</v>
      </c>
      <c r="R20" s="106"/>
      <c r="S20" s="107"/>
      <c r="T20" s="145">
        <f>#N/A</f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>#N/A</f>
        <v>-625.75</v>
      </c>
      <c r="H21" s="155">
        <f>#N/A</f>
        <v>98.04945637265904</v>
      </c>
      <c r="I21" s="156">
        <f>#N/A</f>
        <v>-175165.95</v>
      </c>
      <c r="J21" s="156">
        <f>#N/A</f>
        <v>15.22354939720551</v>
      </c>
      <c r="K21" s="156">
        <v>25484.06</v>
      </c>
      <c r="L21" s="159">
        <f>#N/A</f>
        <v>5970.989999999998</v>
      </c>
      <c r="M21" s="207">
        <f>#N/A</f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>#N/A</f>
        <v>-400.22999999999956</v>
      </c>
      <c r="Q21" s="156">
        <f>#N/A</f>
        <v>97.39008803390936</v>
      </c>
      <c r="R21" s="106"/>
      <c r="S21" s="107"/>
      <c r="T21" s="145">
        <f>#N/A</f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>#N/A</f>
        <v>33.210000000000036</v>
      </c>
      <c r="H22" s="171">
        <f>#N/A</f>
        <v>100.75908571428572</v>
      </c>
      <c r="I22" s="172">
        <f>#N/A</f>
        <v>-18400.79</v>
      </c>
      <c r="J22" s="172">
        <f>#N/A</f>
        <v>19.326625454864306</v>
      </c>
      <c r="K22" s="173">
        <v>3552.77</v>
      </c>
      <c r="L22" s="164">
        <f>#N/A</f>
        <v>855.44</v>
      </c>
      <c r="M22" s="213">
        <f>#N/A</f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>#N/A</f>
        <v>363.5999999999999</v>
      </c>
      <c r="Q22" s="172">
        <f>#N/A</f>
        <v>261.59999999999997</v>
      </c>
      <c r="R22" s="106"/>
      <c r="S22" s="107"/>
      <c r="T22" s="145">
        <f>#N/A</f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>#N/A</f>
        <v>-44.77000000000001</v>
      </c>
      <c r="H23" s="197">
        <f>#N/A</f>
        <v>77.04102564102564</v>
      </c>
      <c r="I23" s="198">
        <f>#N/A</f>
        <v>-1672.07</v>
      </c>
      <c r="J23" s="198">
        <f>#N/A</f>
        <v>8.243977391208912</v>
      </c>
      <c r="K23" s="198">
        <v>146.88</v>
      </c>
      <c r="L23" s="198">
        <f>#N/A</f>
        <v>3.3499999999999943</v>
      </c>
      <c r="M23" s="226">
        <f>#N/A</f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>#N/A</f>
        <v>-25.140000000000015</v>
      </c>
      <c r="Q23" s="198">
        <f>#N/A</f>
        <v>54.29090909090907</v>
      </c>
      <c r="R23" s="106"/>
      <c r="S23" s="107"/>
      <c r="T23" s="145">
        <f>#N/A</f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>#N/A</f>
        <v>77.97999999999956</v>
      </c>
      <c r="H24" s="197">
        <f>#N/A</f>
        <v>101.86555023923445</v>
      </c>
      <c r="I24" s="198">
        <f>#N/A</f>
        <v>-16728.72</v>
      </c>
      <c r="J24" s="198">
        <f>#N/A</f>
        <v>20.288944903200594</v>
      </c>
      <c r="K24" s="198">
        <v>3405.89</v>
      </c>
      <c r="L24" s="198">
        <f>#N/A</f>
        <v>852.0899999999997</v>
      </c>
      <c r="M24" s="226">
        <f>#N/A</f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>#N/A</f>
        <v>388.7399999999998</v>
      </c>
      <c r="Q24" s="198">
        <f>#N/A</f>
        <v>328.670588235294</v>
      </c>
      <c r="R24" s="106"/>
      <c r="S24" s="107"/>
      <c r="T24" s="145">
        <f>#N/A</f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>#N/A</f>
        <v>28.370000000000005</v>
      </c>
      <c r="H25" s="171">
        <f>#N/A</f>
        <v>155.8464566929134</v>
      </c>
      <c r="I25" s="172">
        <f>#N/A</f>
        <v>-740.83</v>
      </c>
      <c r="J25" s="172">
        <f>#N/A</f>
        <v>9.654878048780487</v>
      </c>
      <c r="K25" s="172">
        <v>174.21</v>
      </c>
      <c r="L25" s="172">
        <f>#N/A</f>
        <v>-95.04</v>
      </c>
      <c r="M25" s="210">
        <f>#N/A</f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>#N/A</f>
        <v>22.090000000000003</v>
      </c>
      <c r="Q25" s="172">
        <f>O25/N25*100</f>
        <v>541.8000000000001</v>
      </c>
      <c r="R25" s="106"/>
      <c r="S25" s="107"/>
      <c r="T25" s="145">
        <f>#N/A</f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>#N/A</f>
        <v>-687.3300000000017</v>
      </c>
      <c r="H26" s="171">
        <f>#N/A</f>
        <v>97.51462664979208</v>
      </c>
      <c r="I26" s="172">
        <f>#N/A</f>
        <v>-156024.33000000002</v>
      </c>
      <c r="J26" s="172">
        <f>#N/A</f>
        <v>14.73707593774591</v>
      </c>
      <c r="K26" s="173">
        <v>21757.07</v>
      </c>
      <c r="L26" s="173">
        <f>#N/A</f>
        <v>5210.5999999999985</v>
      </c>
      <c r="M26" s="209">
        <f>#N/A</f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>#N/A</f>
        <v>-785.9200000000019</v>
      </c>
      <c r="Q26" s="172">
        <f>O26/N26*100</f>
        <v>94.79695465077788</v>
      </c>
      <c r="R26" s="106"/>
      <c r="S26" s="107"/>
      <c r="T26" s="145">
        <f>#N/A</f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>#N/A</f>
        <v>679.2099999999991</v>
      </c>
      <c r="H27" s="197">
        <f>#N/A</f>
        <v>108.30330073349631</v>
      </c>
      <c r="I27" s="198">
        <f>#N/A</f>
        <v>-48673.79</v>
      </c>
      <c r="J27" s="198">
        <f>#N/A</f>
        <v>15.398484348113255</v>
      </c>
      <c r="K27" s="198">
        <v>6708.33</v>
      </c>
      <c r="L27" s="198">
        <f>#N/A</f>
        <v>2150.879999999999</v>
      </c>
      <c r="M27" s="226">
        <f>#N/A</f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>#N/A</f>
        <v>409.34999999999854</v>
      </c>
      <c r="Q27" s="198">
        <f>O27/N27*100</f>
        <v>108.8032258064516</v>
      </c>
      <c r="R27" s="106"/>
      <c r="S27" s="107"/>
      <c r="T27" s="145">
        <f>#N/A</f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>#N/A</f>
        <v>-1366.5400000000009</v>
      </c>
      <c r="H28" s="197">
        <f>#N/A</f>
        <v>92.98310654685493</v>
      </c>
      <c r="I28" s="198">
        <f>#N/A</f>
        <v>-107350.54000000001</v>
      </c>
      <c r="J28" s="198">
        <f>#N/A</f>
        <v>14.433767206816569</v>
      </c>
      <c r="K28" s="198">
        <v>15048.75</v>
      </c>
      <c r="L28" s="198">
        <f>#N/A</f>
        <v>3059.709999999999</v>
      </c>
      <c r="M28" s="226">
        <f>#N/A</f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>#N/A</f>
        <v>-1195.2700000000004</v>
      </c>
      <c r="Q28" s="198">
        <f>O28/N28*100</f>
        <v>88.56747967479674</v>
      </c>
      <c r="R28" s="106"/>
      <c r="S28" s="107"/>
      <c r="T28" s="145">
        <f>#N/A</f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>#N/A</f>
        <v>0.2</v>
      </c>
      <c r="H29" s="155"/>
      <c r="I29" s="156">
        <f>#N/A</f>
        <v>0.2</v>
      </c>
      <c r="J29" s="156"/>
      <c r="K29" s="165">
        <v>0</v>
      </c>
      <c r="L29" s="156">
        <f>#N/A</f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>#N/A</f>
        <v>0</v>
      </c>
      <c r="Q29" s="156"/>
      <c r="R29" s="106"/>
      <c r="S29" s="107"/>
      <c r="T29" s="145">
        <f>#N/A</f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>#N/A</f>
        <v>19.200000000000003</v>
      </c>
      <c r="H30" s="155">
        <f>#N/A</f>
        <v>228.00000000000003</v>
      </c>
      <c r="I30" s="156">
        <f>#N/A</f>
        <v>-80.8</v>
      </c>
      <c r="J30" s="156">
        <f>#N/A</f>
        <v>29.739130434782613</v>
      </c>
      <c r="K30" s="156">
        <v>20.81</v>
      </c>
      <c r="L30" s="156">
        <f>#N/A</f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>#N/A</f>
        <v>9.14</v>
      </c>
      <c r="Q30" s="156">
        <f>O30/N30*100</f>
        <v>176.16666666666669</v>
      </c>
      <c r="R30" s="106"/>
      <c r="S30" s="107"/>
      <c r="T30" s="145">
        <f>#N/A</f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>#N/A</f>
        <v>-10.76</v>
      </c>
      <c r="H31" s="155"/>
      <c r="I31" s="156">
        <f>#N/A</f>
        <v>-10.76</v>
      </c>
      <c r="J31" s="156"/>
      <c r="K31" s="156">
        <v>-52.93</v>
      </c>
      <c r="L31" s="156">
        <f>#N/A</f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>#N/A</f>
        <v>-7.83</v>
      </c>
      <c r="Q31" s="156"/>
      <c r="R31" s="106"/>
      <c r="S31" s="107"/>
      <c r="T31" s="145">
        <f>#N/A</f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>#N/A</f>
        <v>3799.8600000000006</v>
      </c>
      <c r="H32" s="162">
        <f>#N/A</f>
        <v>108.66979855665353</v>
      </c>
      <c r="I32" s="163">
        <f>#N/A</f>
        <v>-146765.54</v>
      </c>
      <c r="J32" s="163">
        <f>#N/A</f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>#N/A</f>
        <v>3368.880000000001</v>
      </c>
      <c r="Q32" s="163">
        <f>O32/N32*100</f>
        <v>114.26886912325287</v>
      </c>
      <c r="R32" s="106"/>
      <c r="S32" s="107"/>
      <c r="T32" s="145">
        <f>#N/A</f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>#N/A</f>
        <v>0</v>
      </c>
      <c r="H33" s="104"/>
      <c r="I33" s="103">
        <f>#N/A</f>
        <v>0</v>
      </c>
      <c r="J33" s="103"/>
      <c r="K33" s="126">
        <v>0.07</v>
      </c>
      <c r="L33" s="126">
        <f>#N/A</f>
        <v>-0.07</v>
      </c>
      <c r="M33" s="214">
        <f>#N/A</f>
        <v>0</v>
      </c>
      <c r="N33" s="104">
        <f>E33-'січень 17'!E33</f>
        <v>0</v>
      </c>
      <c r="O33" s="142">
        <f>F33-'січень 17'!F33</f>
        <v>0</v>
      </c>
      <c r="P33" s="105">
        <f>#N/A</f>
        <v>0</v>
      </c>
      <c r="Q33" s="103"/>
      <c r="R33" s="106"/>
      <c r="S33" s="107"/>
      <c r="T33" s="145">
        <f>#N/A</f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>#N/A</f>
        <v>645.9500000000007</v>
      </c>
      <c r="H34" s="104">
        <f>#N/A</f>
        <v>107.09055982436884</v>
      </c>
      <c r="I34" s="103">
        <f>#N/A</f>
        <v>-31244.05</v>
      </c>
      <c r="J34" s="103">
        <f>#N/A</f>
        <v>23.795</v>
      </c>
      <c r="K34" s="126">
        <v>8679.27</v>
      </c>
      <c r="L34" s="126">
        <f>#N/A</f>
        <v>1076.6800000000003</v>
      </c>
      <c r="M34" s="214">
        <f>#N/A</f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>#N/A</f>
        <v>560.9200000000001</v>
      </c>
      <c r="Q34" s="103">
        <f>O34/N34*100</f>
        <v>109.99857397504455</v>
      </c>
      <c r="R34" s="106"/>
      <c r="S34" s="107"/>
      <c r="T34" s="145">
        <f>#N/A</f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>#N/A</f>
        <v>3156.5</v>
      </c>
      <c r="H35" s="104">
        <f>#N/A</f>
        <v>109.0965417867435</v>
      </c>
      <c r="I35" s="103">
        <f>#N/A</f>
        <v>-115482.6</v>
      </c>
      <c r="J35" s="103">
        <f>#N/A</f>
        <v>24.688093252145084</v>
      </c>
      <c r="K35" s="126">
        <v>24907.67</v>
      </c>
      <c r="L35" s="126">
        <f>#N/A</f>
        <v>12948.830000000002</v>
      </c>
      <c r="M35" s="214">
        <f>#N/A</f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>#N/A</f>
        <v>2807.959999999999</v>
      </c>
      <c r="Q35" s="103">
        <f>O35/N35*100</f>
        <v>115.59977777777777</v>
      </c>
      <c r="R35" s="106"/>
      <c r="S35" s="107"/>
      <c r="T35" s="145">
        <f>#N/A</f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>#N/A</f>
        <v>-2.59</v>
      </c>
      <c r="H36" s="104">
        <f>#N/A</f>
        <v>86.14973262032085</v>
      </c>
      <c r="I36" s="103">
        <f>#N/A</f>
        <v>-38.89</v>
      </c>
      <c r="J36" s="103">
        <f>#N/A</f>
        <v>29.29090909090909</v>
      </c>
      <c r="K36" s="126">
        <v>7.49</v>
      </c>
      <c r="L36" s="126">
        <f>#N/A</f>
        <v>8.62</v>
      </c>
      <c r="M36" s="214">
        <f>#N/A</f>
        <v>2.15086782376502</v>
      </c>
      <c r="N36" s="104">
        <f>E36-'січень 17'!E36</f>
        <v>0</v>
      </c>
      <c r="O36" s="142">
        <f>F36-'січень 17'!F36</f>
        <v>0</v>
      </c>
      <c r="P36" s="105">
        <f>#N/A</f>
        <v>0</v>
      </c>
      <c r="Q36" s="103"/>
      <c r="R36" s="106"/>
      <c r="S36" s="107"/>
      <c r="T36" s="145">
        <f>#N/A</f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>#N/A</f>
        <v>0</v>
      </c>
      <c r="H37" s="29"/>
      <c r="I37" s="36">
        <f>#N/A</f>
        <v>0</v>
      </c>
      <c r="J37" s="36"/>
      <c r="K37" s="118">
        <v>0</v>
      </c>
      <c r="L37" s="118">
        <f>#N/A</f>
        <v>0</v>
      </c>
      <c r="M37" s="215" t="e">
        <f>#N/A</f>
        <v>#DIV/0!</v>
      </c>
      <c r="N37" s="155">
        <f>E37-'січень 17'!E37</f>
        <v>0</v>
      </c>
      <c r="O37" s="158">
        <f>F37-'січень 17'!F37</f>
        <v>0</v>
      </c>
      <c r="P37" s="35">
        <f>#N/A</f>
        <v>0</v>
      </c>
      <c r="Q37" s="36"/>
      <c r="R37" s="106"/>
      <c r="S37" s="107"/>
      <c r="T37" s="145">
        <f>#N/A</f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>#N/A</f>
        <v>3775.189999999998</v>
      </c>
      <c r="M38" s="203">
        <f>#N/A</f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>#N/A</f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>#N/A</f>
        <v>-68.87</v>
      </c>
      <c r="M39" s="216">
        <f>#N/A</f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>#N/A</f>
        <v>1.25</v>
      </c>
      <c r="R39" s="36"/>
      <c r="S39" s="93"/>
      <c r="T39" s="145">
        <f>#N/A</f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>#N/A</f>
        <v>-383.67999999999984</v>
      </c>
      <c r="H40" s="162"/>
      <c r="I40" s="163">
        <f>#N/A</f>
        <v>-27883.68</v>
      </c>
      <c r="J40" s="163">
        <f>F40/D40*100</f>
        <v>7.054400000000001</v>
      </c>
      <c r="K40" s="163">
        <v>432.1</v>
      </c>
      <c r="L40" s="163">
        <f>#N/A</f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>#N/A</f>
        <v>-383.67999999999984</v>
      </c>
      <c r="Q40" s="163">
        <f>#N/A</f>
        <v>84.6528</v>
      </c>
      <c r="R40" s="36"/>
      <c r="S40" s="93"/>
      <c r="T40" s="145">
        <f>#N/A</f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>#N/A</f>
        <v>41.08</v>
      </c>
      <c r="H41" s="162">
        <f>#N/A</f>
        <v>356.75</v>
      </c>
      <c r="I41" s="163">
        <f>#N/A</f>
        <v>17.08</v>
      </c>
      <c r="J41" s="163">
        <f>#N/A</f>
        <v>142.70000000000002</v>
      </c>
      <c r="K41" s="163">
        <v>24.38</v>
      </c>
      <c r="L41" s="163">
        <f>#N/A</f>
        <v>32.7</v>
      </c>
      <c r="M41" s="216">
        <f>#N/A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>#N/A</f>
        <v>36.21</v>
      </c>
      <c r="Q41" s="163"/>
      <c r="R41" s="36"/>
      <c r="S41" s="93"/>
      <c r="T41" s="145">
        <f>#N/A</f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>#N/A</f>
        <v>2.03</v>
      </c>
      <c r="H42" s="162"/>
      <c r="I42" s="163">
        <f>#N/A</f>
        <v>2.03</v>
      </c>
      <c r="J42" s="163"/>
      <c r="K42" s="163">
        <v>1.02</v>
      </c>
      <c r="L42" s="163">
        <f>#N/A</f>
        <v>1.0099999999999998</v>
      </c>
      <c r="M42" s="216">
        <f>#N/A</f>
        <v>1.9901960784313724</v>
      </c>
      <c r="N42" s="162">
        <f>E42-'січень 17'!E42</f>
        <v>0</v>
      </c>
      <c r="O42" s="166">
        <f>F42-'січень 17'!F42</f>
        <v>2.03</v>
      </c>
      <c r="P42" s="165">
        <f>#N/A</f>
        <v>2.03</v>
      </c>
      <c r="Q42" s="163"/>
      <c r="R42" s="36"/>
      <c r="S42" s="93"/>
      <c r="T42" s="145">
        <f>#N/A</f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>#N/A</f>
        <v>42.08</v>
      </c>
      <c r="H43" s="162">
        <f>#N/A</f>
        <v>205.20000000000002</v>
      </c>
      <c r="I43" s="163">
        <f>#N/A</f>
        <v>-177.92000000000002</v>
      </c>
      <c r="J43" s="163">
        <f>#N/A</f>
        <v>31.569230769230767</v>
      </c>
      <c r="K43" s="163">
        <v>3.65</v>
      </c>
      <c r="L43" s="163">
        <f>#N/A</f>
        <v>78.42999999999999</v>
      </c>
      <c r="M43" s="216">
        <f>#N/A</f>
        <v>22.487671232876714</v>
      </c>
      <c r="N43" s="162">
        <f>E43-'січень 17'!E43</f>
        <v>20</v>
      </c>
      <c r="O43" s="166">
        <f>F43-'січень 17'!F43</f>
        <v>70.91</v>
      </c>
      <c r="P43" s="165">
        <f>#N/A</f>
        <v>50.91</v>
      </c>
      <c r="Q43" s="163">
        <f>#N/A</f>
        <v>354.54999999999995</v>
      </c>
      <c r="R43" s="36"/>
      <c r="S43" s="93"/>
      <c r="T43" s="145">
        <f>#N/A</f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>#N/A</f>
        <v>-13.6</v>
      </c>
      <c r="H44" s="162"/>
      <c r="I44" s="163">
        <f>#N/A</f>
        <v>-97.5</v>
      </c>
      <c r="J44" s="163"/>
      <c r="K44" s="163">
        <v>0</v>
      </c>
      <c r="L44" s="163">
        <f>#N/A</f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>#N/A</f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>#N/A</f>
        <v>72.38999999999999</v>
      </c>
      <c r="H45" s="162">
        <f>#N/A</f>
        <v>160.325</v>
      </c>
      <c r="I45" s="163">
        <f>#N/A</f>
        <v>-537.61</v>
      </c>
      <c r="J45" s="163">
        <f>#N/A</f>
        <v>26.35479452054794</v>
      </c>
      <c r="K45" s="163">
        <v>0</v>
      </c>
      <c r="L45" s="163">
        <f>#N/A</f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>#N/A</f>
        <v>42.93999999999998</v>
      </c>
      <c r="Q45" s="163">
        <f>#N/A</f>
        <v>171.56666666666663</v>
      </c>
      <c r="R45" s="36"/>
      <c r="S45" s="93"/>
      <c r="T45" s="145">
        <f>#N/A</f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>#N/A</f>
        <v>0</v>
      </c>
      <c r="M46" s="216" t="e">
        <f>#N/A</f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>#N/A</f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>#N/A</f>
        <v>743.7199999999998</v>
      </c>
      <c r="H47" s="162">
        <f>#N/A</f>
        <v>153.12285714285713</v>
      </c>
      <c r="I47" s="163">
        <f>#N/A</f>
        <v>-8856.28</v>
      </c>
      <c r="J47" s="163">
        <f>#N/A</f>
        <v>19.488363636363633</v>
      </c>
      <c r="K47" s="163">
        <v>1351.17</v>
      </c>
      <c r="L47" s="163">
        <f>#N/A</f>
        <v>792.5499999999997</v>
      </c>
      <c r="M47" s="216">
        <f>#N/A</f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>#N/A</f>
        <v>291.15999999999985</v>
      </c>
      <c r="Q47" s="163">
        <f>#N/A</f>
        <v>136.39499999999998</v>
      </c>
      <c r="R47" s="36"/>
      <c r="S47" s="93"/>
      <c r="T47" s="145">
        <f>#N/A</f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>#N/A</f>
        <v>40.44</v>
      </c>
      <c r="H48" s="162">
        <f>#N/A</f>
        <v>180.88</v>
      </c>
      <c r="I48" s="163">
        <f>#N/A</f>
        <v>-219.56</v>
      </c>
      <c r="J48" s="163">
        <f>#N/A</f>
        <v>29.174193548387095</v>
      </c>
      <c r="K48" s="163">
        <v>1.03</v>
      </c>
      <c r="L48" s="163">
        <f>#N/A</f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>#N/A</f>
        <v>20.909999999999997</v>
      </c>
      <c r="Q48" s="163"/>
      <c r="R48" s="36"/>
      <c r="S48" s="93"/>
      <c r="T48" s="145">
        <f>#N/A</f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>#N/A</f>
        <v>-2</v>
      </c>
      <c r="H49" s="162">
        <f>#N/A</f>
        <v>0</v>
      </c>
      <c r="I49" s="163">
        <f>#N/A</f>
        <v>-20</v>
      </c>
      <c r="J49" s="163">
        <f>#N/A</f>
        <v>0</v>
      </c>
      <c r="K49" s="163">
        <v>0</v>
      </c>
      <c r="L49" s="163">
        <f>#N/A</f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>#N/A</f>
        <v>-1</v>
      </c>
      <c r="Q49" s="163">
        <f>#N/A</f>
        <v>0</v>
      </c>
      <c r="R49" s="36"/>
      <c r="S49" s="93"/>
      <c r="T49" s="145">
        <f>#N/A</f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>#N/A</f>
        <v>-36.65000000000009</v>
      </c>
      <c r="H50" s="162">
        <f>#N/A</f>
        <v>96.94583333333333</v>
      </c>
      <c r="I50" s="163">
        <f>#N/A</f>
        <v>-6111.65</v>
      </c>
      <c r="J50" s="163">
        <f>#N/A</f>
        <v>15.991065292096218</v>
      </c>
      <c r="K50" s="163">
        <v>1303.34</v>
      </c>
      <c r="L50" s="163">
        <f>#N/A</f>
        <v>-139.99</v>
      </c>
      <c r="M50" s="216">
        <f>#N/A</f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>#N/A</f>
        <v>-121.6400000000001</v>
      </c>
      <c r="Q50" s="163">
        <f>#N/A</f>
        <v>79.72666666666665</v>
      </c>
      <c r="R50" s="36"/>
      <c r="S50" s="93"/>
      <c r="T50" s="145">
        <f>#N/A</f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>#N/A</f>
        <v>-50.95</v>
      </c>
      <c r="H51" s="162">
        <f>#N/A</f>
        <v>63.607142857142854</v>
      </c>
      <c r="I51" s="163">
        <f>#N/A</f>
        <v>-1110.95</v>
      </c>
      <c r="J51" s="163">
        <f>#N/A</f>
        <v>7.420833333333333</v>
      </c>
      <c r="K51" s="163">
        <v>965.16</v>
      </c>
      <c r="L51" s="163">
        <f>#N/A</f>
        <v>-876.11</v>
      </c>
      <c r="M51" s="216">
        <f>#N/A</f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>#N/A</f>
        <v>-36.040000000000006</v>
      </c>
      <c r="Q51" s="163">
        <f>#N/A</f>
        <v>57.599999999999994</v>
      </c>
      <c r="R51" s="36"/>
      <c r="S51" s="93"/>
      <c r="T51" s="145">
        <f>#N/A</f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>#N/A</f>
        <v>-36.290000000000006</v>
      </c>
      <c r="H52" s="29">
        <f>#N/A</f>
        <v>67.0090909090909</v>
      </c>
      <c r="I52" s="103">
        <f>#N/A</f>
        <v>-924.29</v>
      </c>
      <c r="J52" s="103">
        <f>#N/A</f>
        <v>7.385771543086171</v>
      </c>
      <c r="K52" s="103">
        <v>86.43</v>
      </c>
      <c r="L52" s="103">
        <f>F52-K52</f>
        <v>-12.720000000000013</v>
      </c>
      <c r="M52" s="108">
        <f>#N/A</f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>#N/A</f>
        <v>-29.10000000000001</v>
      </c>
      <c r="Q52" s="118">
        <f>#N/A</f>
        <v>58.428571428571416</v>
      </c>
      <c r="R52" s="36"/>
      <c r="S52" s="93"/>
      <c r="T52" s="145">
        <f>#N/A</f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>#N/A</f>
        <v>0.1</v>
      </c>
      <c r="H53" s="29" t="e">
        <f>#N/A</f>
        <v>#DIV/0!</v>
      </c>
      <c r="I53" s="103">
        <f>#N/A</f>
        <v>-0.9</v>
      </c>
      <c r="J53" s="103">
        <f>#N/A</f>
        <v>10</v>
      </c>
      <c r="K53" s="103">
        <v>0.08</v>
      </c>
      <c r="L53" s="103">
        <f>F53-K53</f>
        <v>0.020000000000000004</v>
      </c>
      <c r="M53" s="108">
        <f>#N/A</f>
        <v>1.25</v>
      </c>
      <c r="N53" s="162">
        <f>E53-'січень 17'!E53</f>
        <v>0</v>
      </c>
      <c r="O53" s="166">
        <f>F53-'січень 17'!F53</f>
        <v>0.09000000000000001</v>
      </c>
      <c r="P53" s="105">
        <f>#N/A</f>
        <v>0.09000000000000001</v>
      </c>
      <c r="Q53" s="118" t="e">
        <f>#N/A</f>
        <v>#DIV/0!</v>
      </c>
      <c r="R53" s="36"/>
      <c r="S53" s="93"/>
      <c r="T53" s="145">
        <f>#N/A</f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>#N/A</f>
        <v>0</v>
      </c>
      <c r="H54" s="29"/>
      <c r="I54" s="103">
        <f>#N/A</f>
        <v>-1</v>
      </c>
      <c r="J54" s="103">
        <f>#N/A</f>
        <v>0</v>
      </c>
      <c r="K54" s="103">
        <v>0</v>
      </c>
      <c r="L54" s="103">
        <f>F54-K54</f>
        <v>0</v>
      </c>
      <c r="M54" s="108" t="e">
        <f>#N/A</f>
        <v>#DIV/0!</v>
      </c>
      <c r="N54" s="162">
        <f>E54-'січень 17'!E54</f>
        <v>0</v>
      </c>
      <c r="O54" s="166">
        <f>F54-'січень 17'!F54</f>
        <v>0</v>
      </c>
      <c r="P54" s="105">
        <f>#N/A</f>
        <v>0</v>
      </c>
      <c r="Q54" s="118"/>
      <c r="R54" s="36"/>
      <c r="S54" s="93"/>
      <c r="T54" s="145">
        <f>#N/A</f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>#N/A</f>
        <v>-14.76</v>
      </c>
      <c r="H55" s="29">
        <f>#N/A</f>
        <v>50.8</v>
      </c>
      <c r="I55" s="103">
        <f>#N/A</f>
        <v>-184.76</v>
      </c>
      <c r="J55" s="103">
        <f>#N/A</f>
        <v>7.62</v>
      </c>
      <c r="K55" s="103">
        <v>878.65</v>
      </c>
      <c r="L55" s="103">
        <f>F55-K55</f>
        <v>-863.41</v>
      </c>
      <c r="M55" s="108">
        <f>#N/A</f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>#N/A</f>
        <v>-7.029999999999999</v>
      </c>
      <c r="Q55" s="118">
        <f>#N/A</f>
        <v>53.13333333333333</v>
      </c>
      <c r="R55" s="36"/>
      <c r="S55" s="93"/>
      <c r="T55" s="145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>#N/A</f>
        <v>-0.8300000000000001</v>
      </c>
      <c r="H56" s="162"/>
      <c r="I56" s="163">
        <f>#N/A</f>
        <v>-0.8300000000000001</v>
      </c>
      <c r="J56" s="163">
        <f>#N/A</f>
        <v>66.8</v>
      </c>
      <c r="K56" s="163">
        <v>2.46</v>
      </c>
      <c r="L56" s="163">
        <f>F56-K56</f>
        <v>-0.79</v>
      </c>
      <c r="M56" s="216">
        <f>#N/A</f>
        <v>0.6788617886178862</v>
      </c>
      <c r="N56" s="162">
        <f>E56-'січень 17'!E56</f>
        <v>2.5</v>
      </c>
      <c r="O56" s="166">
        <f>F56-'січень 17'!F56</f>
        <v>0</v>
      </c>
      <c r="P56" s="165">
        <f>#N/A</f>
        <v>-2.5</v>
      </c>
      <c r="Q56" s="163"/>
      <c r="R56" s="36"/>
      <c r="S56" s="93"/>
      <c r="T56" s="145">
        <f>#N/A</f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>#N/A</f>
        <v>511.42999999999984</v>
      </c>
      <c r="H57" s="162">
        <f>#N/A</f>
        <v>123.24681818181817</v>
      </c>
      <c r="I57" s="163">
        <f>#N/A</f>
        <v>-4638.57</v>
      </c>
      <c r="J57" s="163">
        <f>#N/A</f>
        <v>36.890204081632646</v>
      </c>
      <c r="K57" s="163">
        <v>722.66</v>
      </c>
      <c r="L57" s="163">
        <f>#N/A</f>
        <v>1988.77</v>
      </c>
      <c r="M57" s="216">
        <f>#N/A</f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>#N/A</f>
        <v>-135.9000000000001</v>
      </c>
      <c r="Q57" s="163">
        <f>#N/A</f>
        <v>77.34999999999998</v>
      </c>
      <c r="R57" s="36"/>
      <c r="S57" s="93"/>
      <c r="T57" s="145">
        <f>#N/A</f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>#N/A</f>
        <v>0</v>
      </c>
      <c r="H58" s="162" t="e">
        <f>#N/A</f>
        <v>#DIV/0!</v>
      </c>
      <c r="I58" s="163">
        <f>#N/A</f>
        <v>0</v>
      </c>
      <c r="J58" s="163" t="e">
        <f>#N/A</f>
        <v>#DIV/0!</v>
      </c>
      <c r="K58" s="163"/>
      <c r="L58" s="163">
        <f>#N/A</f>
        <v>0</v>
      </c>
      <c r="M58" s="216" t="e">
        <f>#N/A</f>
        <v>#DIV/0!</v>
      </c>
      <c r="N58" s="162">
        <f>E58-'січень 17'!E58</f>
        <v>0</v>
      </c>
      <c r="O58" s="166">
        <f>F58-'січень 17'!F58</f>
        <v>0</v>
      </c>
      <c r="P58" s="165">
        <f>#N/A</f>
        <v>0</v>
      </c>
      <c r="Q58" s="163" t="e">
        <f>#N/A</f>
        <v>#DIV/0!</v>
      </c>
      <c r="R58" s="36"/>
      <c r="S58" s="93"/>
      <c r="T58" s="145">
        <f>#N/A</f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>#N/A</f>
        <v>144.02999999999997</v>
      </c>
      <c r="M59" s="216">
        <f>#N/A</f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>#N/A</f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>#N/A</f>
        <v>0</v>
      </c>
      <c r="H60" s="162"/>
      <c r="I60" s="163">
        <f>#N/A</f>
        <v>0</v>
      </c>
      <c r="J60" s="163"/>
      <c r="K60" s="164"/>
      <c r="L60" s="163">
        <f>#N/A</f>
        <v>0</v>
      </c>
      <c r="M60" s="216" t="e">
        <f>#N/A</f>
        <v>#DIV/0!</v>
      </c>
      <c r="N60" s="162">
        <f>E60-'січень 17'!E60</f>
        <v>0</v>
      </c>
      <c r="O60" s="166">
        <f>F60-'січень 17'!F60</f>
        <v>0</v>
      </c>
      <c r="P60" s="165">
        <f>#N/A</f>
        <v>0</v>
      </c>
      <c r="Q60" s="163"/>
      <c r="R60" s="36"/>
      <c r="S60" s="93"/>
      <c r="T60" s="145">
        <f>#N/A</f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>#N/A</f>
        <v>22.89</v>
      </c>
      <c r="H61" s="162">
        <f>#N/A</f>
        <v>328.90000000000003</v>
      </c>
      <c r="I61" s="163">
        <f>#N/A</f>
        <v>-127.11</v>
      </c>
      <c r="J61" s="163">
        <f>#N/A</f>
        <v>20.556250000000002</v>
      </c>
      <c r="K61" s="163">
        <v>32.19</v>
      </c>
      <c r="L61" s="163">
        <f>#N/A</f>
        <v>0.7000000000000028</v>
      </c>
      <c r="M61" s="216">
        <f>#N/A</f>
        <v>1.0217458838148494</v>
      </c>
      <c r="N61" s="162">
        <f>E61-'січень 17'!E61</f>
        <v>0</v>
      </c>
      <c r="O61" s="166">
        <f>F61-'січень 17'!F61</f>
        <v>0</v>
      </c>
      <c r="P61" s="165">
        <f>#N/A</f>
        <v>0</v>
      </c>
      <c r="Q61" s="163"/>
      <c r="R61" s="36"/>
      <c r="S61" s="93"/>
      <c r="T61" s="145">
        <f>#N/A</f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>#N/A</f>
        <v>6.1</v>
      </c>
      <c r="H62" s="162">
        <f>#N/A</f>
        <v>344</v>
      </c>
      <c r="I62" s="163">
        <f>#N/A</f>
        <v>-6.4</v>
      </c>
      <c r="J62" s="163">
        <f>#N/A</f>
        <v>57.333333333333336</v>
      </c>
      <c r="K62" s="163">
        <v>3.8</v>
      </c>
      <c r="L62" s="163">
        <f>#N/A</f>
        <v>4.8</v>
      </c>
      <c r="M62" s="216">
        <f>#N/A</f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>#N/A</f>
        <v>5.81</v>
      </c>
      <c r="Q62" s="163">
        <f>#N/A</f>
        <v>546.9230769230768</v>
      </c>
      <c r="R62" s="36"/>
      <c r="S62" s="93"/>
      <c r="T62" s="145">
        <f>#N/A</f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>#N/A</f>
        <v>-5.33</v>
      </c>
      <c r="H63" s="162"/>
      <c r="I63" s="163">
        <f>#N/A</f>
        <v>-5.33</v>
      </c>
      <c r="J63" s="163"/>
      <c r="K63" s="163">
        <v>0.54</v>
      </c>
      <c r="L63" s="163">
        <f>#N/A</f>
        <v>-5.87</v>
      </c>
      <c r="M63" s="216">
        <f>#N/A</f>
        <v>-9.87037037037037</v>
      </c>
      <c r="N63" s="162">
        <f>E63-'січень 17'!E63</f>
        <v>0</v>
      </c>
      <c r="O63" s="166">
        <f>F63-'січень 17'!F63</f>
        <v>-5.33</v>
      </c>
      <c r="P63" s="165">
        <f>#N/A</f>
        <v>-5.33</v>
      </c>
      <c r="Q63" s="163"/>
      <c r="R63" s="36"/>
      <c r="S63" s="93"/>
      <c r="T63" s="145">
        <f>#N/A</f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>#N/A</f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>#N/A</f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>#N/A</f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>#N/A</f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>#N/A</f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>#N/A</f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>#N/A</f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>#N/A</f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>#N/A</f>
        <v>26.66</v>
      </c>
      <c r="H72" s="184"/>
      <c r="I72" s="185">
        <f>#N/A</f>
        <v>26.66</v>
      </c>
      <c r="J72" s="185"/>
      <c r="K72" s="185">
        <v>0</v>
      </c>
      <c r="L72" s="185">
        <f>#N/A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>#N/A</f>
        <v>14.85</v>
      </c>
      <c r="Q72" s="185"/>
      <c r="R72" s="37"/>
      <c r="S72" s="96"/>
      <c r="T72" s="145">
        <f>#N/A</f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>#N/A</f>
        <v>0.07</v>
      </c>
      <c r="H73" s="162"/>
      <c r="I73" s="165">
        <f>#N/A</f>
        <v>-104205.95999999999</v>
      </c>
      <c r="J73" s="165">
        <f>F73/D73*100</f>
        <v>6.71746155188908E-05</v>
      </c>
      <c r="K73" s="165">
        <v>0.1</v>
      </c>
      <c r="L73" s="165">
        <f>#N/A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>#N/A</f>
        <v>0.030000000000000006</v>
      </c>
      <c r="Q73" s="165"/>
      <c r="R73" s="37"/>
      <c r="S73" s="96"/>
      <c r="T73" s="145">
        <f>#N/A</f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>#N/A</f>
        <v>-1181.66</v>
      </c>
      <c r="H74" s="162">
        <f>F74/E74*100</f>
        <v>3.930081300813008</v>
      </c>
      <c r="I74" s="165">
        <f>#N/A</f>
        <v>-53951.66</v>
      </c>
      <c r="J74" s="165">
        <f>F74/D74*100</f>
        <v>0.08951851851851853</v>
      </c>
      <c r="K74" s="165">
        <v>376.67</v>
      </c>
      <c r="L74" s="165">
        <f>#N/A</f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>#N/A</f>
        <v>-583.56</v>
      </c>
      <c r="Q74" s="165">
        <f>O74/N74*100</f>
        <v>7.371428571428572</v>
      </c>
      <c r="R74" s="37"/>
      <c r="S74" s="96"/>
      <c r="T74" s="145">
        <f>#N/A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>#N/A</f>
        <v>302.5899999999999</v>
      </c>
      <c r="H75" s="162">
        <f>F75/E75*100</f>
        <v>137.82375</v>
      </c>
      <c r="I75" s="165">
        <f>#N/A</f>
        <v>-77897.41</v>
      </c>
      <c r="J75" s="165">
        <f>F75/D75*100</f>
        <v>1.3956835443037974</v>
      </c>
      <c r="K75" s="165">
        <v>646.84</v>
      </c>
      <c r="L75" s="165">
        <f>#N/A</f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>#N/A</f>
        <v>612.4699999999999</v>
      </c>
      <c r="Q75" s="165">
        <f>O75/N75*100</f>
        <v>253.11749999999998</v>
      </c>
      <c r="R75" s="37"/>
      <c r="S75" s="96"/>
      <c r="T75" s="145">
        <f>#N/A</f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>#N/A</f>
        <v>0</v>
      </c>
      <c r="H76" s="162">
        <f>F76/E76*100</f>
        <v>100</v>
      </c>
      <c r="I76" s="165">
        <f>#N/A</f>
        <v>-10</v>
      </c>
      <c r="J76" s="165">
        <f>F76/D76*100</f>
        <v>16.666666666666664</v>
      </c>
      <c r="K76" s="165">
        <v>2</v>
      </c>
      <c r="L76" s="165">
        <f>#N/A</f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>#N/A</f>
        <v>0</v>
      </c>
      <c r="Q76" s="165">
        <f>O76/N76*100</f>
        <v>100</v>
      </c>
      <c r="R76" s="37"/>
      <c r="S76" s="134"/>
      <c r="T76" s="145">
        <f>#N/A</f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>#N/A</f>
        <v>-879</v>
      </c>
      <c r="H77" s="184">
        <f>F77/E77*100</f>
        <v>56.74212598425197</v>
      </c>
      <c r="I77" s="185">
        <f>#N/A</f>
        <v>-236065.03</v>
      </c>
      <c r="J77" s="185">
        <f>F77/D77*100</f>
        <v>0.48605074411923915</v>
      </c>
      <c r="K77" s="185">
        <v>1025.62</v>
      </c>
      <c r="L77" s="185">
        <f>#N/A</f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>#N/A</f>
        <v>28.939999999999827</v>
      </c>
      <c r="Q77" s="185">
        <f>O77/N77*100</f>
        <v>102.8069835111542</v>
      </c>
      <c r="R77" s="38"/>
      <c r="S77" s="115"/>
      <c r="T77" s="145">
        <f>#N/A</f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>#N/A</f>
        <v>8.78</v>
      </c>
      <c r="H78" s="162"/>
      <c r="I78" s="165">
        <f>#N/A</f>
        <v>-31.22</v>
      </c>
      <c r="J78" s="165"/>
      <c r="K78" s="165">
        <v>0.01</v>
      </c>
      <c r="L78" s="165">
        <f>#N/A</f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>#N/A</f>
        <v>8.44</v>
      </c>
      <c r="Q78" s="165"/>
      <c r="R78" s="37"/>
      <c r="S78" s="96"/>
      <c r="T78" s="145">
        <f>#N/A</f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>#N/A</f>
        <v>0</v>
      </c>
      <c r="H79" s="162"/>
      <c r="I79" s="165">
        <f>#N/A</f>
        <v>0</v>
      </c>
      <c r="J79" s="188"/>
      <c r="K79" s="165">
        <v>0</v>
      </c>
      <c r="L79" s="165">
        <f>#N/A</f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>#N/A</f>
        <v>0</v>
      </c>
      <c r="Q79" s="188"/>
      <c r="R79" s="40"/>
      <c r="S79" s="98"/>
      <c r="T79" s="145">
        <f>#N/A</f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>#N/A</f>
        <v>-132.76999999999998</v>
      </c>
      <c r="H80" s="162">
        <f>F80/E80*100</f>
        <v>94.35021276595745</v>
      </c>
      <c r="I80" s="165">
        <f>#N/A</f>
        <v>-6142.77</v>
      </c>
      <c r="J80" s="165">
        <f>F80/D80*100</f>
        <v>26.52188995215311</v>
      </c>
      <c r="K80" s="165">
        <v>2013.66</v>
      </c>
      <c r="L80" s="165">
        <f>#N/A</f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>#N/A</f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>#N/A</f>
        <v>0.03</v>
      </c>
      <c r="H81" s="162"/>
      <c r="I81" s="165">
        <f>#N/A</f>
        <v>0.03</v>
      </c>
      <c r="J81" s="165"/>
      <c r="K81" s="165">
        <v>1.31</v>
      </c>
      <c r="L81" s="165">
        <f>#N/A</f>
        <v>-1.28</v>
      </c>
      <c r="M81" s="207">
        <f>#N/A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>#N/A</f>
        <v>0.03</v>
      </c>
      <c r="Q81" s="165"/>
      <c r="R81" s="37"/>
      <c r="S81" s="96"/>
      <c r="T81" s="145">
        <f>#N/A</f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>#N/A</f>
        <v>-6173.96</v>
      </c>
      <c r="J82" s="185">
        <f>F82/D82*100</f>
        <v>26.500476190476192</v>
      </c>
      <c r="K82" s="185">
        <v>2013.84</v>
      </c>
      <c r="L82" s="185">
        <f>#N/A</f>
        <v>212.20000000000005</v>
      </c>
      <c r="M82" s="218">
        <f>#N/A</f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>#N/A</f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>#N/A</f>
        <v>-3.9400000000000004</v>
      </c>
      <c r="H83" s="162">
        <f>F83/E83*100</f>
        <v>19.591836734693878</v>
      </c>
      <c r="I83" s="165">
        <f>#N/A</f>
        <v>-37.04</v>
      </c>
      <c r="J83" s="165">
        <f>F83/D83*100</f>
        <v>2.526315789473684</v>
      </c>
      <c r="K83" s="165">
        <v>0.69</v>
      </c>
      <c r="L83" s="165">
        <f>#N/A</f>
        <v>0.27</v>
      </c>
      <c r="M83" s="207">
        <f>#N/A</f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>#N/A</f>
        <v>-1.8800000000000006</v>
      </c>
      <c r="Q83" s="165">
        <f>O83/N83</f>
        <v>0.24799999999999991</v>
      </c>
      <c r="R83" s="37"/>
      <c r="S83" s="96"/>
      <c r="T83" s="145">
        <f>#N/A</f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>#N/A</f>
        <v>0</v>
      </c>
      <c r="H84" s="162"/>
      <c r="I84" s="165">
        <f>#N/A</f>
        <v>0</v>
      </c>
      <c r="J84" s="165"/>
      <c r="K84" s="165">
        <v>0</v>
      </c>
      <c r="L84" s="165">
        <f>#N/A</f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>#N/A</f>
        <v>0</v>
      </c>
      <c r="Q84" s="165"/>
      <c r="R84" s="37"/>
      <c r="S84" s="96"/>
      <c r="T84" s="145">
        <f>#N/A</f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>#N/A</f>
        <v>1.120663054670101</v>
      </c>
      <c r="N85" s="189">
        <f>N71+N72+N77+N82+N83</f>
        <v>3376</v>
      </c>
      <c r="O85" s="189">
        <f>O71+O72+O77+O82+O83</f>
        <v>3289.629999999999</v>
      </c>
      <c r="P85" s="192">
        <f>#N/A</f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>#N/A</f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>#N/A</f>
        <v>1.3945860287486864</v>
      </c>
      <c r="N86" s="190">
        <f>N64+N85</f>
        <v>110041.6</v>
      </c>
      <c r="O86" s="190">
        <f>O64+O85</f>
        <v>108729.81</v>
      </c>
      <c r="P86" s="192">
        <f>#N/A</f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>#N/A</f>
        <v>1394738.1300000001</v>
      </c>
    </row>
    <row r="87" spans="2:20" ht="15">
      <c r="B87" s="20" t="s">
        <v>34</v>
      </c>
      <c r="O87" s="25"/>
      <c r="T87" s="145">
        <f>#N/A</f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>#N/A</f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25"/>
      <c r="H89" s="325"/>
      <c r="I89" s="325"/>
      <c r="J89" s="325"/>
      <c r="K89" s="83"/>
      <c r="L89" s="83"/>
      <c r="M89" s="83"/>
      <c r="Q89" s="25"/>
      <c r="R89" s="25"/>
      <c r="T89" s="145" t="e">
        <f>#N/A</f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13"/>
      <c r="P90" s="313"/>
      <c r="T90" s="145">
        <f>#N/A</f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09"/>
      <c r="H91" s="309"/>
      <c r="I91" s="117"/>
      <c r="J91" s="346"/>
      <c r="K91" s="346"/>
      <c r="L91" s="346"/>
      <c r="M91" s="346"/>
      <c r="N91" s="346"/>
      <c r="O91" s="313"/>
      <c r="P91" s="313"/>
    </row>
    <row r="92" spans="3:16" ht="15.75" customHeight="1">
      <c r="C92" s="80">
        <v>42790</v>
      </c>
      <c r="D92" s="28">
        <v>4206.9</v>
      </c>
      <c r="F92" s="67"/>
      <c r="G92" s="309"/>
      <c r="H92" s="309"/>
      <c r="I92" s="117"/>
      <c r="J92" s="347"/>
      <c r="K92" s="347"/>
      <c r="L92" s="347"/>
      <c r="M92" s="347"/>
      <c r="N92" s="347"/>
      <c r="O92" s="313"/>
      <c r="P92" s="313"/>
    </row>
    <row r="93" spans="3:14" ht="15.75" customHeight="1">
      <c r="C93" s="80"/>
      <c r="F93" s="67"/>
      <c r="G93" s="314"/>
      <c r="H93" s="314"/>
      <c r="I93" s="123"/>
      <c r="J93" s="346"/>
      <c r="K93" s="346"/>
      <c r="L93" s="346"/>
      <c r="M93" s="346"/>
      <c r="N93" s="346"/>
    </row>
    <row r="94" spans="2:14" ht="18.75" customHeight="1">
      <c r="B94" s="315" t="s">
        <v>56</v>
      </c>
      <c r="C94" s="316"/>
      <c r="D94" s="132">
        <v>7713.34596</v>
      </c>
      <c r="E94" s="68"/>
      <c r="F94" s="124" t="s">
        <v>105</v>
      </c>
      <c r="G94" s="309"/>
      <c r="H94" s="309"/>
      <c r="I94" s="125"/>
      <c r="J94" s="346"/>
      <c r="K94" s="346"/>
      <c r="L94" s="346"/>
      <c r="M94" s="346"/>
      <c r="N94" s="346"/>
    </row>
    <row r="95" spans="6:13" ht="9.75" customHeight="1">
      <c r="F95" s="67"/>
      <c r="G95" s="309"/>
      <c r="H95" s="309"/>
      <c r="I95" s="67"/>
      <c r="J95" s="68"/>
      <c r="K95" s="68"/>
      <c r="L95" s="68"/>
      <c r="M95" s="68"/>
    </row>
    <row r="96" spans="2:13" ht="22.5" customHeight="1" hidden="1">
      <c r="B96" s="310" t="s">
        <v>59</v>
      </c>
      <c r="C96" s="311"/>
      <c r="D96" s="79">
        <v>0</v>
      </c>
      <c r="E96" s="50" t="s">
        <v>24</v>
      </c>
      <c r="F96" s="67"/>
      <c r="G96" s="309"/>
      <c r="H96" s="30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12"/>
      <c r="P98" s="312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>#N/A</f>
        <v>4835.679999999999</v>
      </c>
      <c r="L100" s="28">
        <f>#N/A</f>
        <v>3843.0699999999997</v>
      </c>
      <c r="M100" s="28">
        <f>#N/A</f>
        <v>32.174115396616955</v>
      </c>
      <c r="N100" s="28">
        <f>#N/A</f>
        <v>4703.8</v>
      </c>
      <c r="O100" s="227">
        <f>#N/A</f>
        <v>4460.869999999999</v>
      </c>
      <c r="P100" s="28">
        <f>#N/A</f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>#N/A</f>
        <v>204022.1</v>
      </c>
      <c r="F101" s="227">
        <f>#N/A</f>
        <v>203526.37000000005</v>
      </c>
      <c r="G101" s="28">
        <f>#N/A</f>
        <v>-495.7299999999468</v>
      </c>
      <c r="H101" s="228">
        <f>F101/E101</f>
        <v>0.9975702142071866</v>
      </c>
      <c r="I101" s="28">
        <f>#N/A</f>
        <v>-1153964.73</v>
      </c>
      <c r="J101" s="228">
        <f>F101/D101</f>
        <v>0.14992832733857336</v>
      </c>
      <c r="K101" s="28">
        <f>#N/A</f>
        <v>4835.679999999999</v>
      </c>
      <c r="L101" s="28">
        <f>#N/A</f>
        <v>3843.0699999999997</v>
      </c>
      <c r="M101" s="28">
        <f>#N/A</f>
        <v>32.174115396616955</v>
      </c>
      <c r="N101" s="28">
        <f>#N/A</f>
        <v>106672.40000000001</v>
      </c>
      <c r="O101" s="227">
        <f>#N/A</f>
        <v>105440.18</v>
      </c>
      <c r="P101" s="28">
        <f>#N/A</f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>#N/A</f>
        <v>0</v>
      </c>
      <c r="F102" s="28">
        <f>#N/A</f>
        <v>0</v>
      </c>
      <c r="G102" s="28">
        <f>#N/A</f>
        <v>-5.4569682106375694E-12</v>
      </c>
      <c r="H102" s="228"/>
      <c r="I102" s="28">
        <f>#N/A</f>
        <v>0</v>
      </c>
      <c r="J102" s="228"/>
      <c r="K102" s="28">
        <f>#N/A</f>
        <v>140507.58000000002</v>
      </c>
      <c r="L102" s="28">
        <f>#N/A</f>
        <v>54340.040000000045</v>
      </c>
      <c r="M102" s="28">
        <f>#N/A</f>
        <v>-30.77380023924399</v>
      </c>
      <c r="N102" s="28">
        <f>#N/A</f>
        <v>-6.80000000000291</v>
      </c>
      <c r="O102" s="28">
        <f>#N/A</f>
        <v>0</v>
      </c>
      <c r="P102" s="28">
        <f>#N/A</f>
        <v>-4.547473508864641E-12</v>
      </c>
      <c r="Q102" s="28"/>
      <c r="R102" s="28">
        <f>#N/A</f>
        <v>70672.18</v>
      </c>
      <c r="S102" s="28">
        <f>#N/A</f>
        <v>3.0326789001380576</v>
      </c>
      <c r="T102" s="28">
        <f>#N/A</f>
        <v>1153469</v>
      </c>
      <c r="U102" s="28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32" t="s">
        <v>130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85"/>
      <c r="S1" s="86"/>
    </row>
    <row r="2" spans="2:19" s="1" customFormat="1" ht="15.75" customHeight="1">
      <c r="B2" s="333"/>
      <c r="C2" s="333"/>
      <c r="D2" s="333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34"/>
      <c r="B3" s="336"/>
      <c r="C3" s="337" t="s">
        <v>0</v>
      </c>
      <c r="D3" s="338" t="s">
        <v>121</v>
      </c>
      <c r="E3" s="31"/>
      <c r="F3" s="339" t="s">
        <v>26</v>
      </c>
      <c r="G3" s="340"/>
      <c r="H3" s="340"/>
      <c r="I3" s="340"/>
      <c r="J3" s="341"/>
      <c r="K3" s="82"/>
      <c r="L3" s="82"/>
      <c r="M3" s="82"/>
      <c r="N3" s="342" t="s">
        <v>119</v>
      </c>
      <c r="O3" s="343" t="s">
        <v>115</v>
      </c>
      <c r="P3" s="343"/>
      <c r="Q3" s="343"/>
      <c r="R3" s="343"/>
      <c r="S3" s="343"/>
    </row>
    <row r="4" spans="1:19" ht="22.5" customHeight="1">
      <c r="A4" s="334"/>
      <c r="B4" s="336"/>
      <c r="C4" s="337"/>
      <c r="D4" s="338"/>
      <c r="E4" s="344" t="s">
        <v>122</v>
      </c>
      <c r="F4" s="326" t="s">
        <v>33</v>
      </c>
      <c r="G4" s="317" t="s">
        <v>123</v>
      </c>
      <c r="H4" s="328" t="s">
        <v>124</v>
      </c>
      <c r="I4" s="317" t="s">
        <v>125</v>
      </c>
      <c r="J4" s="328" t="s">
        <v>126</v>
      </c>
      <c r="K4" s="84" t="s">
        <v>128</v>
      </c>
      <c r="L4" s="202" t="s">
        <v>111</v>
      </c>
      <c r="M4" s="89" t="s">
        <v>63</v>
      </c>
      <c r="N4" s="328"/>
      <c r="O4" s="330" t="s">
        <v>120</v>
      </c>
      <c r="P4" s="317" t="s">
        <v>49</v>
      </c>
      <c r="Q4" s="319" t="s">
        <v>48</v>
      </c>
      <c r="R4" s="90" t="s">
        <v>64</v>
      </c>
      <c r="S4" s="91" t="s">
        <v>63</v>
      </c>
    </row>
    <row r="5" spans="1:19" ht="67.5" customHeight="1">
      <c r="A5" s="335"/>
      <c r="B5" s="336"/>
      <c r="C5" s="337"/>
      <c r="D5" s="338"/>
      <c r="E5" s="345"/>
      <c r="F5" s="327"/>
      <c r="G5" s="318"/>
      <c r="H5" s="329"/>
      <c r="I5" s="318"/>
      <c r="J5" s="329"/>
      <c r="K5" s="320" t="s">
        <v>129</v>
      </c>
      <c r="L5" s="321"/>
      <c r="M5" s="322"/>
      <c r="N5" s="329"/>
      <c r="O5" s="331"/>
      <c r="P5" s="318"/>
      <c r="Q5" s="319"/>
      <c r="R5" s="320" t="s">
        <v>102</v>
      </c>
      <c r="S5" s="322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>#N/A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>#N/A</f>
        <v>33276.340000000004</v>
      </c>
      <c r="M8" s="203">
        <f>#N/A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>#N/A</f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>#N/A</f>
        <v>16711.66</v>
      </c>
      <c r="M9" s="204">
        <f>#N/A</f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>#N/A</f>
        <v>-141.0699999999997</v>
      </c>
      <c r="H10" s="29">
        <f>#N/A</f>
        <v>99.67408280195914</v>
      </c>
      <c r="I10" s="103">
        <f>#N/A</f>
        <v>-658174.07</v>
      </c>
      <c r="J10" s="103">
        <f>#N/A</f>
        <v>6.15170172689383</v>
      </c>
      <c r="K10" s="105">
        <v>26883.84</v>
      </c>
      <c r="L10" s="105">
        <f>#N/A</f>
        <v>16259.09</v>
      </c>
      <c r="M10" s="205">
        <f>#N/A</f>
        <v>1.604790461481693</v>
      </c>
      <c r="N10" s="104" t="e">
        <f>E10-#REF!</f>
        <v>#REF!</v>
      </c>
      <c r="O10" s="142" t="e">
        <f>F10-#REF!</f>
        <v>#REF!</v>
      </c>
      <c r="P10" s="105" t="e">
        <f>#N/A</f>
        <v>#REF!</v>
      </c>
      <c r="Q10" s="156" t="e">
        <f>#N/A</f>
        <v>#REF!</v>
      </c>
      <c r="R10" s="36"/>
      <c r="S10" s="93"/>
      <c r="T10" s="145">
        <f>#N/A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>#N/A</f>
        <v>-918.3000000000002</v>
      </c>
      <c r="H11" s="29">
        <f>#N/A</f>
        <v>74.49166666666667</v>
      </c>
      <c r="I11" s="103">
        <f>#N/A</f>
        <v>-43824.3</v>
      </c>
      <c r="J11" s="103">
        <f>#N/A</f>
        <v>5.76635272868017</v>
      </c>
      <c r="K11" s="105">
        <v>2684.94</v>
      </c>
      <c r="L11" s="105">
        <f>#N/A</f>
        <v>-3.2400000000002365</v>
      </c>
      <c r="M11" s="205">
        <f>#N/A</f>
        <v>0.9987932691233323</v>
      </c>
      <c r="N11" s="104" t="e">
        <f>E11-#REF!</f>
        <v>#REF!</v>
      </c>
      <c r="O11" s="142" t="e">
        <f>F11-#REF!</f>
        <v>#REF!</v>
      </c>
      <c r="P11" s="105" t="e">
        <f>#N/A</f>
        <v>#REF!</v>
      </c>
      <c r="Q11" s="156" t="e">
        <f>#N/A</f>
        <v>#REF!</v>
      </c>
      <c r="R11" s="36"/>
      <c r="S11" s="93"/>
      <c r="T11" s="145">
        <f>#N/A</f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>#N/A</f>
        <v>80.43</v>
      </c>
      <c r="H12" s="29">
        <f>#N/A</f>
        <v>119.15</v>
      </c>
      <c r="I12" s="103">
        <f>#N/A</f>
        <v>-7779.57</v>
      </c>
      <c r="J12" s="103">
        <f>#N/A</f>
        <v>6.043840579710145</v>
      </c>
      <c r="K12" s="105">
        <v>433.61</v>
      </c>
      <c r="L12" s="105">
        <f>#N/A</f>
        <v>66.82</v>
      </c>
      <c r="M12" s="205">
        <f>#N/A</f>
        <v>1.1541016120476926</v>
      </c>
      <c r="N12" s="104" t="e">
        <f>E12-#REF!</f>
        <v>#REF!</v>
      </c>
      <c r="O12" s="142" t="e">
        <f>F12-#REF!</f>
        <v>#REF!</v>
      </c>
      <c r="P12" s="105" t="e">
        <f>#N/A</f>
        <v>#REF!</v>
      </c>
      <c r="Q12" s="156" t="e">
        <f>#N/A</f>
        <v>#REF!</v>
      </c>
      <c r="R12" s="36"/>
      <c r="S12" s="93"/>
      <c r="T12" s="145">
        <f>#N/A</f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>#N/A</f>
        <v>199.36</v>
      </c>
      <c r="H13" s="29">
        <f>#N/A</f>
        <v>166.45333333333335</v>
      </c>
      <c r="I13" s="103">
        <f>#N/A</f>
        <v>-8890.64</v>
      </c>
      <c r="J13" s="103">
        <f>#N/A</f>
        <v>5.317997870074548</v>
      </c>
      <c r="K13" s="105">
        <v>209.84</v>
      </c>
      <c r="L13" s="105">
        <f>#N/A</f>
        <v>289.52</v>
      </c>
      <c r="M13" s="205">
        <f>#N/A</f>
        <v>2.3797178802897445</v>
      </c>
      <c r="N13" s="104" t="e">
        <f>E13-#REF!</f>
        <v>#REF!</v>
      </c>
      <c r="O13" s="142" t="e">
        <f>F13-#REF!</f>
        <v>#REF!</v>
      </c>
      <c r="P13" s="105" t="e">
        <f>#N/A</f>
        <v>#REF!</v>
      </c>
      <c r="Q13" s="156" t="e">
        <f>#N/A</f>
        <v>#REF!</v>
      </c>
      <c r="R13" s="36"/>
      <c r="S13" s="93"/>
      <c r="T13" s="145">
        <f>#N/A</f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>#N/A</f>
        <v>4.5</v>
      </c>
      <c r="H14" s="29">
        <f>#N/A</f>
        <v>104.6875</v>
      </c>
      <c r="I14" s="103">
        <f>#N/A</f>
        <v>-1051.5</v>
      </c>
      <c r="J14" s="103">
        <f>#N/A</f>
        <v>8.723958333333332</v>
      </c>
      <c r="K14" s="105">
        <v>1.04</v>
      </c>
      <c r="L14" s="105">
        <f>#N/A</f>
        <v>99.46</v>
      </c>
      <c r="M14" s="205">
        <f>#N/A</f>
        <v>96.63461538461539</v>
      </c>
      <c r="N14" s="104" t="e">
        <f>E14-#REF!</f>
        <v>#REF!</v>
      </c>
      <c r="O14" s="142" t="e">
        <f>F14-#REF!</f>
        <v>#REF!</v>
      </c>
      <c r="P14" s="105" t="e">
        <f>#N/A</f>
        <v>#REF!</v>
      </c>
      <c r="Q14" s="156" t="e">
        <f>#N/A</f>
        <v>#REF!</v>
      </c>
      <c r="R14" s="36"/>
      <c r="S14" s="93"/>
      <c r="T14" s="145">
        <f>#N/A</f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>#N/A</f>
        <v>0</v>
      </c>
      <c r="H15" s="155"/>
      <c r="I15" s="156">
        <f>#N/A</f>
        <v>-551</v>
      </c>
      <c r="J15" s="156">
        <f>#N/A</f>
        <v>0</v>
      </c>
      <c r="K15" s="159">
        <v>0</v>
      </c>
      <c r="L15" s="159">
        <f>#N/A</f>
        <v>0</v>
      </c>
      <c r="M15" s="206"/>
      <c r="N15" s="155" t="e">
        <f>E15-#REF!</f>
        <v>#REF!</v>
      </c>
      <c r="O15" s="158" t="e">
        <f>F15-#REF!</f>
        <v>#REF!</v>
      </c>
      <c r="P15" s="159" t="e">
        <f>#N/A</f>
        <v>#REF!</v>
      </c>
      <c r="Q15" s="156" t="e">
        <f>#N/A</f>
        <v>#REF!</v>
      </c>
      <c r="R15" s="36"/>
      <c r="S15" s="93"/>
      <c r="T15" s="145">
        <f>#N/A</f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>#N/A</f>
        <v>0</v>
      </c>
      <c r="H16" s="29"/>
      <c r="I16" s="36">
        <f>#N/A</f>
        <v>0</v>
      </c>
      <c r="J16" s="36" t="e">
        <f>#N/A</f>
        <v>#DIV/0!</v>
      </c>
      <c r="K16" s="105">
        <v>381.9</v>
      </c>
      <c r="L16" s="159">
        <f>#N/A</f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>#N/A</f>
        <v>#REF!</v>
      </c>
      <c r="Q16" s="156" t="e">
        <f>#N/A</f>
        <v>#REF!</v>
      </c>
      <c r="R16" s="103" t="e">
        <f>O16-358.81</f>
        <v>#REF!</v>
      </c>
      <c r="S16" s="108" t="e">
        <f>O16/358.79</f>
        <v>#REF!</v>
      </c>
      <c r="T16" s="145">
        <f>#N/A</f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>#N/A</f>
        <v>0</v>
      </c>
      <c r="H17" s="162"/>
      <c r="I17" s="163">
        <f>#N/A</f>
        <v>0</v>
      </c>
      <c r="J17" s="163"/>
      <c r="K17" s="165">
        <v>0.14</v>
      </c>
      <c r="L17" s="159">
        <f>#N/A</f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>#N/A</f>
        <v>#REF!</v>
      </c>
      <c r="Q17" s="156"/>
      <c r="R17" s="103"/>
      <c r="S17" s="108"/>
      <c r="T17" s="145">
        <f>#N/A</f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>#N/A</f>
        <v>0</v>
      </c>
      <c r="H18" s="155"/>
      <c r="I18" s="156">
        <f>#N/A</f>
        <v>-125</v>
      </c>
      <c r="J18" s="156">
        <f>#N/A</f>
        <v>0</v>
      </c>
      <c r="K18" s="159">
        <v>0</v>
      </c>
      <c r="L18" s="159">
        <f>#N/A</f>
        <v>0</v>
      </c>
      <c r="M18" s="206"/>
      <c r="N18" s="155" t="e">
        <f>E18-#REF!</f>
        <v>#REF!</v>
      </c>
      <c r="O18" s="158" t="e">
        <f>F18-#REF!</f>
        <v>#REF!</v>
      </c>
      <c r="P18" s="159" t="e">
        <f>#N/A</f>
        <v>#REF!</v>
      </c>
      <c r="Q18" s="156"/>
      <c r="R18" s="36"/>
      <c r="S18" s="93"/>
      <c r="T18" s="145">
        <f>#N/A</f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>#N/A</f>
        <v>51.75</v>
      </c>
      <c r="H19" s="155">
        <f>#N/A</f>
        <v>100.53350515463917</v>
      </c>
      <c r="I19" s="156">
        <f>#N/A</f>
        <v>-120248.25</v>
      </c>
      <c r="J19" s="156">
        <f>#N/A</f>
        <v>7.501346153846154</v>
      </c>
      <c r="K19" s="167">
        <v>5560</v>
      </c>
      <c r="L19" s="159">
        <f>#N/A</f>
        <v>4191.75</v>
      </c>
      <c r="M19" s="211">
        <f>#N/A</f>
        <v>1.7539118705035972</v>
      </c>
      <c r="N19" s="155" t="e">
        <f>E19-#REF!</f>
        <v>#REF!</v>
      </c>
      <c r="O19" s="158" t="e">
        <f>F19-#REF!</f>
        <v>#REF!</v>
      </c>
      <c r="P19" s="159" t="e">
        <f>#N/A</f>
        <v>#REF!</v>
      </c>
      <c r="Q19" s="156" t="e">
        <f>#N/A</f>
        <v>#REF!</v>
      </c>
      <c r="R19" s="106"/>
      <c r="S19" s="107"/>
      <c r="T19" s="145">
        <f>#N/A</f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>#N/A</f>
        <v>212.79000000000087</v>
      </c>
      <c r="H20" s="155">
        <f>#N/A</f>
        <v>100.57561371474944</v>
      </c>
      <c r="I20" s="156">
        <f>#N/A</f>
        <v>-363949.81</v>
      </c>
      <c r="J20" s="156">
        <f>#N/A</f>
        <v>9.268885581012245</v>
      </c>
      <c r="K20" s="156">
        <v>24797.05</v>
      </c>
      <c r="L20" s="159">
        <f>#N/A</f>
        <v>12383.240000000002</v>
      </c>
      <c r="M20" s="207">
        <f>#N/A</f>
        <v>1.4993835960325927</v>
      </c>
      <c r="N20" s="155" t="e">
        <f>N21+N30+N31+N32</f>
        <v>#REF!</v>
      </c>
      <c r="O20" s="158" t="e">
        <f>F20-#REF!</f>
        <v>#REF!</v>
      </c>
      <c r="P20" s="159" t="e">
        <f>#N/A</f>
        <v>#REF!</v>
      </c>
      <c r="Q20" s="156" t="e">
        <f>#N/A</f>
        <v>#REF!</v>
      </c>
      <c r="R20" s="106"/>
      <c r="S20" s="107"/>
      <c r="T20" s="145">
        <f>#N/A</f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>#N/A</f>
        <v>-225.52000000000044</v>
      </c>
      <c r="H21" s="155">
        <f>#N/A</f>
        <v>98.65327425384275</v>
      </c>
      <c r="I21" s="156">
        <f>#N/A</f>
        <v>-190100.72</v>
      </c>
      <c r="J21" s="156">
        <f>#N/A</f>
        <v>7.995450607634267</v>
      </c>
      <c r="K21" s="156">
        <v>11899.3</v>
      </c>
      <c r="L21" s="159">
        <f>#N/A</f>
        <v>4620.98</v>
      </c>
      <c r="M21" s="207">
        <f>#N/A</f>
        <v>1.388340490617095</v>
      </c>
      <c r="N21" s="155" t="e">
        <f>N22+N25+N26</f>
        <v>#REF!</v>
      </c>
      <c r="O21" s="158" t="e">
        <f>F21-#REF!</f>
        <v>#REF!</v>
      </c>
      <c r="P21" s="159" t="e">
        <f>#N/A</f>
        <v>#REF!</v>
      </c>
      <c r="Q21" s="156" t="e">
        <f>#N/A</f>
        <v>#REF!</v>
      </c>
      <c r="R21" s="106"/>
      <c r="S21" s="107"/>
      <c r="T21" s="145">
        <f>#N/A</f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>#N/A</f>
        <v>-330.3899999999999</v>
      </c>
      <c r="H22" s="171">
        <f>#N/A</f>
        <v>92.0387951807229</v>
      </c>
      <c r="I22" s="172">
        <f>#N/A</f>
        <v>-18989.39</v>
      </c>
      <c r="J22" s="172">
        <f>#N/A</f>
        <v>16.746065149721602</v>
      </c>
      <c r="K22" s="173">
        <v>3049.6</v>
      </c>
      <c r="L22" s="164">
        <f>#N/A</f>
        <v>770.0100000000002</v>
      </c>
      <c r="M22" s="213">
        <f>#N/A</f>
        <v>1.252495409233998</v>
      </c>
      <c r="N22" s="171" t="e">
        <f>E22-#REF!</f>
        <v>#REF!</v>
      </c>
      <c r="O22" s="174" t="e">
        <f>F22-#REF!</f>
        <v>#REF!</v>
      </c>
      <c r="P22" s="175" t="e">
        <f>#N/A</f>
        <v>#REF!</v>
      </c>
      <c r="Q22" s="172" t="e">
        <f>#N/A</f>
        <v>#REF!</v>
      </c>
      <c r="R22" s="106"/>
      <c r="S22" s="107"/>
      <c r="T22" s="145">
        <f>#N/A</f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>#N/A</f>
        <v>-19.629999999999995</v>
      </c>
      <c r="H23" s="197">
        <f>#N/A</f>
        <v>85.97857142857143</v>
      </c>
      <c r="I23" s="198">
        <f>#N/A</f>
        <v>-1701.9299999999998</v>
      </c>
      <c r="J23" s="198">
        <f>#N/A</f>
        <v>6.605388794380727</v>
      </c>
      <c r="K23" s="198">
        <v>128.1</v>
      </c>
      <c r="L23" s="198">
        <f>#N/A</f>
        <v>-7.72999999999999</v>
      </c>
      <c r="M23" s="226">
        <f>#N/A</f>
        <v>0.939656518345043</v>
      </c>
      <c r="N23" s="197" t="e">
        <f>E23-#REF!</f>
        <v>#REF!</v>
      </c>
      <c r="O23" s="197" t="e">
        <f>F23-#REF!</f>
        <v>#REF!</v>
      </c>
      <c r="P23" s="198" t="e">
        <f>#N/A</f>
        <v>#REF!</v>
      </c>
      <c r="Q23" s="198" t="e">
        <f>#N/A</f>
        <v>#REF!</v>
      </c>
      <c r="R23" s="106"/>
      <c r="S23" s="107"/>
      <c r="T23" s="145">
        <f>#N/A</f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>#N/A</f>
        <v>-310.7600000000002</v>
      </c>
      <c r="H24" s="197">
        <f>#N/A</f>
        <v>92.2503740648379</v>
      </c>
      <c r="I24" s="198">
        <f>#N/A</f>
        <v>-17287.46</v>
      </c>
      <c r="J24" s="198">
        <f>#N/A</f>
        <v>17.62659207974574</v>
      </c>
      <c r="K24" s="198">
        <v>2921.5</v>
      </c>
      <c r="L24" s="198">
        <f>#N/A</f>
        <v>777.7399999999998</v>
      </c>
      <c r="M24" s="226">
        <f>#N/A</f>
        <v>1.266212562040048</v>
      </c>
      <c r="N24" s="197" t="e">
        <f>E24-#REF!</f>
        <v>#REF!</v>
      </c>
      <c r="O24" s="197" t="e">
        <f>F24-#REF!</f>
        <v>#REF!</v>
      </c>
      <c r="P24" s="198" t="e">
        <f>#N/A</f>
        <v>#REF!</v>
      </c>
      <c r="Q24" s="198" t="e">
        <f>#N/A</f>
        <v>#REF!</v>
      </c>
      <c r="R24" s="106"/>
      <c r="S24" s="107"/>
      <c r="T24" s="145">
        <f>#N/A</f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>#N/A</f>
        <v>6.280000000000001</v>
      </c>
      <c r="H25" s="171">
        <f>#N/A</f>
        <v>113.71179039301312</v>
      </c>
      <c r="I25" s="172">
        <f>#N/A</f>
        <v>-767.92</v>
      </c>
      <c r="J25" s="172">
        <f>#N/A</f>
        <v>6.351219512195122</v>
      </c>
      <c r="K25" s="172">
        <v>156.87</v>
      </c>
      <c r="L25" s="172">
        <f>#N/A</f>
        <v>-104.79</v>
      </c>
      <c r="M25" s="210">
        <f>#N/A</f>
        <v>0.33199464524765726</v>
      </c>
      <c r="N25" s="171" t="e">
        <f>E25-#REF!</f>
        <v>#REF!</v>
      </c>
      <c r="O25" s="174" t="e">
        <f>F25-#REF!</f>
        <v>#REF!</v>
      </c>
      <c r="P25" s="175" t="e">
        <f>#N/A</f>
        <v>#REF!</v>
      </c>
      <c r="Q25" s="172"/>
      <c r="R25" s="106"/>
      <c r="S25" s="107"/>
      <c r="T25" s="145">
        <f>#N/A</f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>#N/A</f>
        <v>98.59000000000015</v>
      </c>
      <c r="H26" s="171">
        <f>#N/A</f>
        <v>100.78557768924303</v>
      </c>
      <c r="I26" s="172">
        <f>#N/A</f>
        <v>-170343.41</v>
      </c>
      <c r="J26" s="172">
        <f>#N/A</f>
        <v>6.912099982512896</v>
      </c>
      <c r="K26" s="173">
        <v>8692.83</v>
      </c>
      <c r="L26" s="173">
        <f>#N/A</f>
        <v>3955.76</v>
      </c>
      <c r="M26" s="209">
        <f>#N/A</f>
        <v>1.455060089752129</v>
      </c>
      <c r="N26" s="171" t="e">
        <f>E26-#REF!</f>
        <v>#REF!</v>
      </c>
      <c r="O26" s="174" t="e">
        <f>F26-#REF!</f>
        <v>#REF!</v>
      </c>
      <c r="P26" s="175" t="e">
        <f>#N/A</f>
        <v>#REF!</v>
      </c>
      <c r="Q26" s="172" t="e">
        <f>O26/N26*100</f>
        <v>#REF!</v>
      </c>
      <c r="R26" s="106"/>
      <c r="S26" s="107"/>
      <c r="T26" s="145">
        <f>#N/A</f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>#N/A</f>
        <v>269.8600000000001</v>
      </c>
      <c r="H27" s="197">
        <f>#N/A</f>
        <v>107.64475920679888</v>
      </c>
      <c r="I27" s="198">
        <f>#N/A</f>
        <v>-53733.14</v>
      </c>
      <c r="J27" s="198">
        <f>#N/A</f>
        <v>6.604661672431475</v>
      </c>
      <c r="K27" s="198">
        <v>2454.05</v>
      </c>
      <c r="L27" s="198">
        <f>#N/A</f>
        <v>1345.81</v>
      </c>
      <c r="M27" s="226">
        <f>#N/A</f>
        <v>1.5484036592571462</v>
      </c>
      <c r="N27" s="197" t="e">
        <f>E27-#REF!</f>
        <v>#REF!</v>
      </c>
      <c r="O27" s="197" t="e">
        <f>F27-#REF!</f>
        <v>#REF!</v>
      </c>
      <c r="P27" s="198" t="e">
        <f>#N/A</f>
        <v>#REF!</v>
      </c>
      <c r="Q27" s="198" t="e">
        <f>O27/N27*100</f>
        <v>#REF!</v>
      </c>
      <c r="R27" s="106"/>
      <c r="S27" s="107"/>
      <c r="T27" s="145">
        <f>#N/A</f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>#N/A</f>
        <v>-171.27000000000044</v>
      </c>
      <c r="H28" s="197">
        <f>#N/A</f>
        <v>98.10121951219512</v>
      </c>
      <c r="I28" s="198">
        <f>#N/A</f>
        <v>-116610.27</v>
      </c>
      <c r="J28" s="198">
        <f>#N/A</f>
        <v>7.053085071617023</v>
      </c>
      <c r="K28" s="198">
        <v>6238.78</v>
      </c>
      <c r="L28" s="198">
        <f>#N/A</f>
        <v>2609.95</v>
      </c>
      <c r="M28" s="226">
        <f>#N/A</f>
        <v>1.4183430093704217</v>
      </c>
      <c r="N28" s="197" t="e">
        <f>E28-#REF!</f>
        <v>#REF!</v>
      </c>
      <c r="O28" s="197" t="e">
        <f>F28-#REF!</f>
        <v>#REF!</v>
      </c>
      <c r="P28" s="198" t="e">
        <f>#N/A</f>
        <v>#REF!</v>
      </c>
      <c r="Q28" s="198" t="e">
        <f>O28/N28*100</f>
        <v>#REF!</v>
      </c>
      <c r="R28" s="106"/>
      <c r="S28" s="107"/>
      <c r="T28" s="145">
        <f>#N/A</f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>#N/A</f>
        <v>0.2</v>
      </c>
      <c r="H29" s="155"/>
      <c r="I29" s="156">
        <f>#N/A</f>
        <v>0.2</v>
      </c>
      <c r="J29" s="156"/>
      <c r="K29" s="165">
        <v>0</v>
      </c>
      <c r="L29" s="156">
        <f>#N/A</f>
        <v>0.2</v>
      </c>
      <c r="M29" s="208"/>
      <c r="N29" s="155" t="e">
        <f>E29-#REF!</f>
        <v>#REF!</v>
      </c>
      <c r="O29" s="158" t="e">
        <f>F29-#REF!</f>
        <v>#REF!</v>
      </c>
      <c r="P29" s="159" t="e">
        <f>#N/A</f>
        <v>#REF!</v>
      </c>
      <c r="Q29" s="156"/>
      <c r="R29" s="106"/>
      <c r="S29" s="107"/>
      <c r="T29" s="145">
        <f>#N/A</f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>#N/A</f>
        <v>10.06</v>
      </c>
      <c r="H30" s="155">
        <f>#N/A</f>
        <v>435.33333333333337</v>
      </c>
      <c r="I30" s="156">
        <f>#N/A</f>
        <v>-101.94</v>
      </c>
      <c r="J30" s="156">
        <f>#N/A</f>
        <v>11.356521739130434</v>
      </c>
      <c r="K30" s="156">
        <v>2.61</v>
      </c>
      <c r="L30" s="156">
        <f>#N/A</f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>#N/A</f>
        <v>#REF!</v>
      </c>
      <c r="Q30" s="156" t="e">
        <f>O30/N30*100</f>
        <v>#REF!</v>
      </c>
      <c r="R30" s="106"/>
      <c r="S30" s="107"/>
      <c r="T30" s="145">
        <f>#N/A</f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>#N/A</f>
        <v>-2.93</v>
      </c>
      <c r="H31" s="155"/>
      <c r="I31" s="156">
        <f>#N/A</f>
        <v>-2.93</v>
      </c>
      <c r="J31" s="156"/>
      <c r="K31" s="156">
        <v>-0.35</v>
      </c>
      <c r="L31" s="156">
        <f>#N/A</f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>#N/A</f>
        <v>#REF!</v>
      </c>
      <c r="Q31" s="156"/>
      <c r="R31" s="106"/>
      <c r="S31" s="107"/>
      <c r="T31" s="145">
        <f>#N/A</f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>#N/A</f>
        <v>430.97999999999956</v>
      </c>
      <c r="H32" s="162">
        <f>#N/A</f>
        <v>102.13159105184803</v>
      </c>
      <c r="I32" s="163">
        <f>#N/A</f>
        <v>-173744.42</v>
      </c>
      <c r="J32" s="163">
        <f>#N/A</f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>#N/A</f>
        <v>#REF!</v>
      </c>
      <c r="Q32" s="163" t="e">
        <f>O32/N32*100</f>
        <v>#REF!</v>
      </c>
      <c r="R32" s="106"/>
      <c r="S32" s="107"/>
      <c r="T32" s="145">
        <f>#N/A</f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>#N/A</f>
        <v>0</v>
      </c>
      <c r="H33" s="104"/>
      <c r="I33" s="103">
        <f>#N/A</f>
        <v>0</v>
      </c>
      <c r="J33" s="103"/>
      <c r="K33" s="126">
        <v>0</v>
      </c>
      <c r="L33" s="126">
        <f>#N/A</f>
        <v>0</v>
      </c>
      <c r="M33" s="214" t="e">
        <f>#N/A</f>
        <v>#DIV/0!</v>
      </c>
      <c r="N33" s="104" t="e">
        <f>E33-#REF!</f>
        <v>#REF!</v>
      </c>
      <c r="O33" s="142" t="e">
        <f>F33-#REF!</f>
        <v>#REF!</v>
      </c>
      <c r="P33" s="105" t="e">
        <f>#N/A</f>
        <v>#REF!</v>
      </c>
      <c r="Q33" s="103"/>
      <c r="R33" s="106"/>
      <c r="S33" s="107"/>
      <c r="T33" s="145">
        <f>#N/A</f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>#N/A</f>
        <v>85.0300000000002</v>
      </c>
      <c r="H34" s="104">
        <f>#N/A</f>
        <v>102.42942857142859</v>
      </c>
      <c r="I34" s="103">
        <f>#N/A</f>
        <v>-37414.97</v>
      </c>
      <c r="J34" s="103">
        <f>#N/A</f>
        <v>8.743975609756099</v>
      </c>
      <c r="K34" s="126">
        <v>2155.98</v>
      </c>
      <c r="L34" s="126">
        <f>#N/A</f>
        <v>1429.0500000000002</v>
      </c>
      <c r="M34" s="214">
        <f>#N/A</f>
        <v>1.6628308240336183</v>
      </c>
      <c r="N34" s="104" t="e">
        <f>E34-#REF!</f>
        <v>#REF!</v>
      </c>
      <c r="O34" s="142" t="e">
        <f>F34-#REF!</f>
        <v>#REF!</v>
      </c>
      <c r="P34" s="105" t="e">
        <f>#N/A</f>
        <v>#REF!</v>
      </c>
      <c r="Q34" s="103" t="e">
        <f>O34/N34*100</f>
        <v>#REF!</v>
      </c>
      <c r="R34" s="106"/>
      <c r="S34" s="107"/>
      <c r="T34" s="145">
        <f>#N/A</f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>#N/A</f>
        <v>348.5400000000009</v>
      </c>
      <c r="H35" s="104">
        <f>#N/A</f>
        <v>102.08706586826348</v>
      </c>
      <c r="I35" s="103">
        <f>#N/A</f>
        <v>-136290.56</v>
      </c>
      <c r="J35" s="103">
        <f>#N/A</f>
        <v>11.118194902669964</v>
      </c>
      <c r="K35" s="126">
        <v>10736.34</v>
      </c>
      <c r="L35" s="126">
        <f>#N/A</f>
        <v>6312.200000000001</v>
      </c>
      <c r="M35" s="214">
        <f>#N/A</f>
        <v>1.5879284746943558</v>
      </c>
      <c r="N35" s="104" t="e">
        <f>E35-#REF!</f>
        <v>#REF!</v>
      </c>
      <c r="O35" s="142" t="e">
        <f>F35-#REF!</f>
        <v>#REF!</v>
      </c>
      <c r="P35" s="105" t="e">
        <f>#N/A</f>
        <v>#REF!</v>
      </c>
      <c r="Q35" s="103" t="e">
        <f>O35/N35*100</f>
        <v>#REF!</v>
      </c>
      <c r="R35" s="106"/>
      <c r="S35" s="107"/>
      <c r="T35" s="145">
        <f>#N/A</f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>#N/A</f>
        <v>-2.59</v>
      </c>
      <c r="H36" s="104">
        <f>#N/A</f>
        <v>86.14973262032085</v>
      </c>
      <c r="I36" s="103">
        <f>#N/A</f>
        <v>-38.89</v>
      </c>
      <c r="J36" s="103">
        <f>#N/A</f>
        <v>29.29090909090909</v>
      </c>
      <c r="K36" s="126">
        <v>3.19</v>
      </c>
      <c r="L36" s="126">
        <f>#N/A</f>
        <v>12.92</v>
      </c>
      <c r="M36" s="214">
        <f>#N/A</f>
        <v>5.0501567398119125</v>
      </c>
      <c r="N36" s="104" t="e">
        <f>E36-#REF!</f>
        <v>#REF!</v>
      </c>
      <c r="O36" s="142" t="e">
        <f>F36-#REF!</f>
        <v>#REF!</v>
      </c>
      <c r="P36" s="105" t="e">
        <f>#N/A</f>
        <v>#REF!</v>
      </c>
      <c r="Q36" s="103"/>
      <c r="R36" s="106"/>
      <c r="S36" s="107"/>
      <c r="T36" s="145">
        <f>#N/A</f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>#N/A</f>
        <v>0</v>
      </c>
      <c r="H37" s="29"/>
      <c r="I37" s="36">
        <f>#N/A</f>
        <v>0</v>
      </c>
      <c r="J37" s="36"/>
      <c r="K37" s="118">
        <v>9.9</v>
      </c>
      <c r="L37" s="118">
        <f>#N/A</f>
        <v>-9.9</v>
      </c>
      <c r="M37" s="215">
        <f>#N/A</f>
        <v>0</v>
      </c>
      <c r="N37" s="135" t="e">
        <f>E37-#REF!</f>
        <v>#REF!</v>
      </c>
      <c r="O37" s="143" t="e">
        <f>F37-#REF!</f>
        <v>#REF!</v>
      </c>
      <c r="P37" s="35" t="e">
        <f>#N/A</f>
        <v>#REF!</v>
      </c>
      <c r="Q37" s="36"/>
      <c r="R37" s="106"/>
      <c r="S37" s="107"/>
      <c r="T37" s="145">
        <f>#N/A</f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>#N/A</f>
        <v>2196.7700000000004</v>
      </c>
      <c r="M38" s="203">
        <f>#N/A</f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>#N/A</f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>#N/A</f>
        <v>3.4699999999999998</v>
      </c>
      <c r="M39" s="216">
        <f>#N/A</f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>#N/A</f>
        <v>#REF!</v>
      </c>
      <c r="R39" s="36"/>
      <c r="S39" s="93"/>
      <c r="T39" s="145">
        <f>#N/A</f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>#N/A</f>
        <v>0</v>
      </c>
      <c r="H40" s="162"/>
      <c r="I40" s="163">
        <f>#N/A</f>
        <v>-30000</v>
      </c>
      <c r="J40" s="163">
        <f>F40/D40*100</f>
        <v>0</v>
      </c>
      <c r="K40" s="163">
        <v>0</v>
      </c>
      <c r="L40" s="163">
        <f>#N/A</f>
        <v>0</v>
      </c>
      <c r="M40" s="216"/>
      <c r="N40" s="162" t="e">
        <f>E40-#REF!</f>
        <v>#REF!</v>
      </c>
      <c r="O40" s="166" t="e">
        <f>F40-#REF!</f>
        <v>#REF!</v>
      </c>
      <c r="P40" s="165" t="e">
        <f>#N/A</f>
        <v>#REF!</v>
      </c>
      <c r="Q40" s="163" t="e">
        <f>#N/A</f>
        <v>#REF!</v>
      </c>
      <c r="R40" s="36"/>
      <c r="S40" s="93"/>
      <c r="T40" s="145">
        <f>#N/A</f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>#N/A</f>
        <v>4.869999999999999</v>
      </c>
      <c r="H41" s="162">
        <f>#N/A</f>
        <v>148.7</v>
      </c>
      <c r="I41" s="163">
        <f>#N/A</f>
        <v>-25.130000000000003</v>
      </c>
      <c r="J41" s="163">
        <f>#N/A</f>
        <v>37.175</v>
      </c>
      <c r="K41" s="163">
        <v>17.84</v>
      </c>
      <c r="L41" s="163">
        <f>#N/A</f>
        <v>-2.9700000000000006</v>
      </c>
      <c r="M41" s="216">
        <f>#N/A</f>
        <v>0.8335201793721972</v>
      </c>
      <c r="N41" s="162" t="e">
        <f>E41-#REF!</f>
        <v>#REF!</v>
      </c>
      <c r="O41" s="166" t="e">
        <f>F41-#REF!</f>
        <v>#REF!</v>
      </c>
      <c r="P41" s="165" t="e">
        <f>#N/A</f>
        <v>#REF!</v>
      </c>
      <c r="Q41" s="163"/>
      <c r="R41" s="36"/>
      <c r="S41" s="93"/>
      <c r="T41" s="145">
        <f>#N/A</f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>#N/A</f>
        <v>0</v>
      </c>
      <c r="H42" s="162"/>
      <c r="I42" s="163">
        <f>#N/A</f>
        <v>0</v>
      </c>
      <c r="J42" s="163"/>
      <c r="K42" s="163">
        <v>1.02</v>
      </c>
      <c r="L42" s="163">
        <f>#N/A</f>
        <v>-1.02</v>
      </c>
      <c r="M42" s="216">
        <f>#N/A</f>
        <v>0</v>
      </c>
      <c r="N42" s="162" t="e">
        <f>E42-#REF!</f>
        <v>#REF!</v>
      </c>
      <c r="O42" s="166" t="e">
        <f>F42-#REF!</f>
        <v>#REF!</v>
      </c>
      <c r="P42" s="165" t="e">
        <f>#N/A</f>
        <v>#REF!</v>
      </c>
      <c r="Q42" s="163"/>
      <c r="R42" s="36"/>
      <c r="S42" s="93"/>
      <c r="T42" s="145">
        <f>#N/A</f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>#N/A</f>
        <v>-8.83</v>
      </c>
      <c r="H43" s="162">
        <f>#N/A</f>
        <v>55.85</v>
      </c>
      <c r="I43" s="163">
        <f>#N/A</f>
        <v>-248.83</v>
      </c>
      <c r="J43" s="163">
        <f>#N/A</f>
        <v>4.296153846153846</v>
      </c>
      <c r="K43" s="163">
        <v>-6.4</v>
      </c>
      <c r="L43" s="163">
        <f>#N/A</f>
        <v>17.57</v>
      </c>
      <c r="M43" s="216">
        <f>#N/A</f>
        <v>-1.7453124999999998</v>
      </c>
      <c r="N43" s="162" t="e">
        <f>E43-#REF!</f>
        <v>#REF!</v>
      </c>
      <c r="O43" s="166" t="e">
        <f>F43-#REF!</f>
        <v>#REF!</v>
      </c>
      <c r="P43" s="165" t="e">
        <f>#N/A</f>
        <v>#REF!</v>
      </c>
      <c r="Q43" s="163" t="e">
        <f>#N/A</f>
        <v>#REF!</v>
      </c>
      <c r="R43" s="36"/>
      <c r="S43" s="93"/>
      <c r="T43" s="145">
        <f>#N/A</f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>#N/A</f>
        <v>-6.8</v>
      </c>
      <c r="H44" s="162"/>
      <c r="I44" s="163">
        <f>#N/A</f>
        <v>-97.5</v>
      </c>
      <c r="J44" s="163"/>
      <c r="K44" s="163">
        <v>0</v>
      </c>
      <c r="L44" s="163">
        <f>#N/A</f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>#N/A</f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>#N/A</f>
        <v>29.450000000000003</v>
      </c>
      <c r="H45" s="162">
        <f>#N/A</f>
        <v>149.08333333333334</v>
      </c>
      <c r="I45" s="163">
        <f>#N/A</f>
        <v>-640.55</v>
      </c>
      <c r="J45" s="163">
        <f>#N/A</f>
        <v>12.253424657534246</v>
      </c>
      <c r="K45" s="163">
        <v>0</v>
      </c>
      <c r="L45" s="163">
        <f>#N/A</f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>#N/A</f>
        <v>#REF!</v>
      </c>
      <c r="Q45" s="163" t="e">
        <f>#N/A</f>
        <v>#REF!</v>
      </c>
      <c r="R45" s="36"/>
      <c r="S45" s="93"/>
      <c r="T45" s="145">
        <f>#N/A</f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>#N/A</f>
        <v>0</v>
      </c>
      <c r="M46" s="216" t="e">
        <f>#N/A</f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>#N/A</f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>#N/A</f>
        <v>452.55999999999995</v>
      </c>
      <c r="H47" s="162">
        <f>#N/A</f>
        <v>175.42666666666668</v>
      </c>
      <c r="I47" s="163">
        <f>#N/A</f>
        <v>-9947.44</v>
      </c>
      <c r="J47" s="163">
        <f>#N/A</f>
        <v>9.568727272727271</v>
      </c>
      <c r="K47" s="163">
        <v>539.02</v>
      </c>
      <c r="L47" s="163">
        <f>#N/A</f>
        <v>513.54</v>
      </c>
      <c r="M47" s="216">
        <f>#N/A</f>
        <v>1.9527290267522541</v>
      </c>
      <c r="N47" s="162" t="e">
        <f>E47-#REF!</f>
        <v>#REF!</v>
      </c>
      <c r="O47" s="166" t="e">
        <f>F47-#REF!</f>
        <v>#REF!</v>
      </c>
      <c r="P47" s="165" t="e">
        <f>#N/A</f>
        <v>#REF!</v>
      </c>
      <c r="Q47" s="163" t="e">
        <f>#N/A</f>
        <v>#REF!</v>
      </c>
      <c r="R47" s="36"/>
      <c r="S47" s="93"/>
      <c r="T47" s="145">
        <f>#N/A</f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>#N/A</f>
        <v>19.53</v>
      </c>
      <c r="H48" s="162">
        <f>#N/A</f>
        <v>178.12</v>
      </c>
      <c r="I48" s="163">
        <f>#N/A</f>
        <v>-265.47</v>
      </c>
      <c r="J48" s="163">
        <f>#N/A</f>
        <v>14.364516129032259</v>
      </c>
      <c r="K48" s="163">
        <v>1.03</v>
      </c>
      <c r="L48" s="163">
        <f>#N/A</f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>#N/A</f>
        <v>#REF!</v>
      </c>
      <c r="Q48" s="163"/>
      <c r="R48" s="36"/>
      <c r="S48" s="93"/>
      <c r="T48" s="145">
        <f>#N/A</f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>#N/A</f>
        <v>-1</v>
      </c>
      <c r="H49" s="162">
        <f>#N/A</f>
        <v>0</v>
      </c>
      <c r="I49" s="163">
        <f>#N/A</f>
        <v>-20</v>
      </c>
      <c r="J49" s="163">
        <f>#N/A</f>
        <v>0</v>
      </c>
      <c r="K49" s="163">
        <v>0</v>
      </c>
      <c r="L49" s="163">
        <f>#N/A</f>
        <v>0</v>
      </c>
      <c r="M49" s="216"/>
      <c r="N49" s="162" t="e">
        <f>E49-#REF!</f>
        <v>#REF!</v>
      </c>
      <c r="O49" s="166" t="e">
        <f>F49-#REF!</f>
        <v>#REF!</v>
      </c>
      <c r="P49" s="165" t="e">
        <f>#N/A</f>
        <v>#REF!</v>
      </c>
      <c r="Q49" s="163" t="e">
        <f>#N/A</f>
        <v>#REF!</v>
      </c>
      <c r="R49" s="36"/>
      <c r="S49" s="93"/>
      <c r="T49" s="145">
        <f>#N/A</f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>#N/A</f>
        <v>84.99000000000001</v>
      </c>
      <c r="H50" s="162">
        <f>#N/A</f>
        <v>114.165</v>
      </c>
      <c r="I50" s="163">
        <f>#N/A</f>
        <v>-6590.01</v>
      </c>
      <c r="J50" s="163">
        <f>#N/A</f>
        <v>9.415670103092785</v>
      </c>
      <c r="K50" s="163">
        <v>716.23</v>
      </c>
      <c r="L50" s="163">
        <f>#N/A</f>
        <v>-31.24000000000001</v>
      </c>
      <c r="M50" s="216">
        <f>#N/A</f>
        <v>0.9563827262192313</v>
      </c>
      <c r="N50" s="162" t="e">
        <f>E50-#REF!</f>
        <v>#REF!</v>
      </c>
      <c r="O50" s="166" t="e">
        <f>F50-#REF!</f>
        <v>#REF!</v>
      </c>
      <c r="P50" s="165" t="e">
        <f>#N/A</f>
        <v>#REF!</v>
      </c>
      <c r="Q50" s="163" t="e">
        <f>#N/A</f>
        <v>#REF!</v>
      </c>
      <c r="R50" s="36"/>
      <c r="S50" s="93"/>
      <c r="T50" s="145">
        <f>#N/A</f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>#N/A</f>
        <v>-14.909999999999997</v>
      </c>
      <c r="H51" s="162">
        <f>#N/A</f>
        <v>72.89090909090909</v>
      </c>
      <c r="I51" s="163">
        <f>#N/A</f>
        <v>-1159.91</v>
      </c>
      <c r="J51" s="163">
        <f>#N/A</f>
        <v>3.3408333333333338</v>
      </c>
      <c r="K51" s="163">
        <v>408.2</v>
      </c>
      <c r="L51" s="163">
        <f>#N/A</f>
        <v>-368.11</v>
      </c>
      <c r="M51" s="216">
        <f>#N/A</f>
        <v>0.09821166095051446</v>
      </c>
      <c r="N51" s="162" t="e">
        <f>E51-#REF!</f>
        <v>#REF!</v>
      </c>
      <c r="O51" s="166" t="e">
        <f>F51-#REF!</f>
        <v>#REF!</v>
      </c>
      <c r="P51" s="165" t="e">
        <f>#N/A</f>
        <v>#REF!</v>
      </c>
      <c r="Q51" s="163" t="e">
        <f>#N/A</f>
        <v>#REF!</v>
      </c>
      <c r="R51" s="36"/>
      <c r="S51" s="93"/>
      <c r="T51" s="145">
        <f>#N/A</f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>#N/A</f>
        <v>-7.189999999999998</v>
      </c>
      <c r="H52" s="29">
        <f>#N/A</f>
        <v>82.025</v>
      </c>
      <c r="I52" s="103">
        <f>#N/A</f>
        <v>-965.19</v>
      </c>
      <c r="J52" s="103">
        <f>#N/A</f>
        <v>3.287575150300601</v>
      </c>
      <c r="K52" s="103">
        <v>25.99</v>
      </c>
      <c r="L52" s="103">
        <f>F52-K52</f>
        <v>6.820000000000004</v>
      </c>
      <c r="M52" s="108">
        <f>#N/A</f>
        <v>1.2624086186995</v>
      </c>
      <c r="N52" s="104" t="e">
        <f>E52-#REF!</f>
        <v>#REF!</v>
      </c>
      <c r="O52" s="142" t="e">
        <f>F52-#REF!</f>
        <v>#REF!</v>
      </c>
      <c r="P52" s="105" t="e">
        <f>#N/A</f>
        <v>#REF!</v>
      </c>
      <c r="Q52" s="118" t="e">
        <f>#N/A</f>
        <v>#REF!</v>
      </c>
      <c r="R52" s="36"/>
      <c r="S52" s="93"/>
      <c r="T52" s="145">
        <f>#N/A</f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>#N/A</f>
        <v>0.01</v>
      </c>
      <c r="H53" s="29" t="e">
        <f>#N/A</f>
        <v>#DIV/0!</v>
      </c>
      <c r="I53" s="103">
        <f>#N/A</f>
        <v>-0.99</v>
      </c>
      <c r="J53" s="103">
        <f>#N/A</f>
        <v>1</v>
      </c>
      <c r="K53" s="103">
        <v>0.04</v>
      </c>
      <c r="L53" s="103">
        <f>F53-K53</f>
        <v>-0.03</v>
      </c>
      <c r="M53" s="108">
        <f>#N/A</f>
        <v>0.25</v>
      </c>
      <c r="N53" s="104" t="e">
        <f>E53-#REF!</f>
        <v>#REF!</v>
      </c>
      <c r="O53" s="142" t="e">
        <f>F53-#REF!</f>
        <v>#REF!</v>
      </c>
      <c r="P53" s="105" t="e">
        <f>#N/A</f>
        <v>#REF!</v>
      </c>
      <c r="Q53" s="118" t="e">
        <f>#N/A</f>
        <v>#REF!</v>
      </c>
      <c r="R53" s="36"/>
      <c r="S53" s="93"/>
      <c r="T53" s="145">
        <f>#N/A</f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>#N/A</f>
        <v>0</v>
      </c>
      <c r="H54" s="29"/>
      <c r="I54" s="103">
        <f>#N/A</f>
        <v>-1</v>
      </c>
      <c r="J54" s="103">
        <f>#N/A</f>
        <v>0</v>
      </c>
      <c r="K54" s="103">
        <v>0</v>
      </c>
      <c r="L54" s="103">
        <f>F54-K54</f>
        <v>0</v>
      </c>
      <c r="M54" s="108" t="e">
        <f>#N/A</f>
        <v>#DIV/0!</v>
      </c>
      <c r="N54" s="104" t="e">
        <f>E54-#REF!</f>
        <v>#REF!</v>
      </c>
      <c r="O54" s="142" t="e">
        <f>F54-#REF!</f>
        <v>#REF!</v>
      </c>
      <c r="P54" s="105" t="e">
        <f>#N/A</f>
        <v>#REF!</v>
      </c>
      <c r="Q54" s="118"/>
      <c r="R54" s="36"/>
      <c r="S54" s="93"/>
      <c r="T54" s="145">
        <f>#N/A</f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>#N/A</f>
        <v>-7.73</v>
      </c>
      <c r="H55" s="29">
        <f>#N/A</f>
        <v>48.46666666666666</v>
      </c>
      <c r="I55" s="103">
        <f>#N/A</f>
        <v>-192.73</v>
      </c>
      <c r="J55" s="103">
        <f>#N/A</f>
        <v>3.6350000000000002</v>
      </c>
      <c r="K55" s="103">
        <v>382.17</v>
      </c>
      <c r="L55" s="103">
        <f>F55-K55</f>
        <v>-374.90000000000003</v>
      </c>
      <c r="M55" s="108">
        <f>#N/A</f>
        <v>0.019022947902765784</v>
      </c>
      <c r="N55" s="104" t="e">
        <f>E55-#REF!</f>
        <v>#REF!</v>
      </c>
      <c r="O55" s="142" t="e">
        <f>F55-#REF!</f>
        <v>#REF!</v>
      </c>
      <c r="P55" s="105" t="e">
        <f>#N/A</f>
        <v>#REF!</v>
      </c>
      <c r="Q55" s="118" t="e">
        <f>#N/A</f>
        <v>#REF!</v>
      </c>
      <c r="R55" s="36"/>
      <c r="S55" s="93"/>
      <c r="T55" s="145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>#N/A</f>
        <v>1.67</v>
      </c>
      <c r="H56" s="162"/>
      <c r="I56" s="163">
        <f>#N/A</f>
        <v>-0.8300000000000001</v>
      </c>
      <c r="J56" s="163">
        <f>#N/A</f>
        <v>66.8</v>
      </c>
      <c r="K56" s="163">
        <v>0.17</v>
      </c>
      <c r="L56" s="163">
        <f>F56-K56</f>
        <v>1.5</v>
      </c>
      <c r="M56" s="216">
        <f>#N/A</f>
        <v>9.823529411764705</v>
      </c>
      <c r="N56" s="162" t="e">
        <f>E56-#REF!</f>
        <v>#REF!</v>
      </c>
      <c r="O56" s="166" t="e">
        <f>F56-#REF!</f>
        <v>#REF!</v>
      </c>
      <c r="P56" s="165" t="e">
        <f>#N/A</f>
        <v>#REF!</v>
      </c>
      <c r="Q56" s="163"/>
      <c r="R56" s="36"/>
      <c r="S56" s="93"/>
      <c r="T56" s="145">
        <f>#N/A</f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>#N/A</f>
        <v>647.3299999999999</v>
      </c>
      <c r="H57" s="162">
        <f>#N/A</f>
        <v>140.458125</v>
      </c>
      <c r="I57" s="163">
        <f>#N/A</f>
        <v>-5102.67</v>
      </c>
      <c r="J57" s="163">
        <f>#N/A</f>
        <v>30.575918367346937</v>
      </c>
      <c r="K57" s="163">
        <v>317.98</v>
      </c>
      <c r="L57" s="163">
        <f>#N/A</f>
        <v>1929.35</v>
      </c>
      <c r="M57" s="216">
        <f>#N/A</f>
        <v>7.067519969809421</v>
      </c>
      <c r="N57" s="162" t="e">
        <f>E57-#REF!</f>
        <v>#REF!</v>
      </c>
      <c r="O57" s="166" t="e">
        <f>F57-#REF!</f>
        <v>#REF!</v>
      </c>
      <c r="P57" s="165" t="e">
        <f>#N/A</f>
        <v>#REF!</v>
      </c>
      <c r="Q57" s="163" t="e">
        <f>#N/A</f>
        <v>#REF!</v>
      </c>
      <c r="R57" s="36"/>
      <c r="S57" s="93"/>
      <c r="T57" s="145">
        <f>#N/A</f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>#N/A</f>
        <v>0</v>
      </c>
      <c r="H58" s="162" t="e">
        <f>#N/A</f>
        <v>#DIV/0!</v>
      </c>
      <c r="I58" s="163">
        <f>#N/A</f>
        <v>0</v>
      </c>
      <c r="J58" s="163" t="e">
        <f>#N/A</f>
        <v>#DIV/0!</v>
      </c>
      <c r="K58" s="163"/>
      <c r="L58" s="163">
        <f>#N/A</f>
        <v>0</v>
      </c>
      <c r="M58" s="216" t="e">
        <f>#N/A</f>
        <v>#DIV/0!</v>
      </c>
      <c r="N58" s="162" t="e">
        <f>E58-#REF!</f>
        <v>#REF!</v>
      </c>
      <c r="O58" s="166" t="e">
        <f>F58-#REF!</f>
        <v>#REF!</v>
      </c>
      <c r="P58" s="165" t="e">
        <f>#N/A</f>
        <v>#REF!</v>
      </c>
      <c r="Q58" s="163" t="e">
        <f>#N/A</f>
        <v>#REF!</v>
      </c>
      <c r="R58" s="36"/>
      <c r="S58" s="93"/>
      <c r="T58" s="145">
        <f>#N/A</f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>#N/A</f>
        <v>97.05000000000001</v>
      </c>
      <c r="M59" s="216">
        <f>#N/A</f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>#N/A</f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>#N/A</f>
        <v>0</v>
      </c>
      <c r="H60" s="162"/>
      <c r="I60" s="163">
        <f>#N/A</f>
        <v>0</v>
      </c>
      <c r="J60" s="163"/>
      <c r="K60" s="164"/>
      <c r="L60" s="163">
        <f>#N/A</f>
        <v>0</v>
      </c>
      <c r="M60" s="216" t="e">
        <f>#N/A</f>
        <v>#DIV/0!</v>
      </c>
      <c r="N60" s="162" t="e">
        <f>E60-#REF!</f>
        <v>#REF!</v>
      </c>
      <c r="O60" s="166" t="e">
        <f>F60-#REF!</f>
        <v>#REF!</v>
      </c>
      <c r="P60" s="165" t="e">
        <f>#N/A</f>
        <v>#REF!</v>
      </c>
      <c r="Q60" s="163"/>
      <c r="R60" s="36"/>
      <c r="S60" s="93"/>
      <c r="T60" s="145">
        <f>#N/A</f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>#N/A</f>
        <v>22.89</v>
      </c>
      <c r="H61" s="162">
        <f>#N/A</f>
        <v>328.90000000000003</v>
      </c>
      <c r="I61" s="163">
        <f>#N/A</f>
        <v>-127.11</v>
      </c>
      <c r="J61" s="163">
        <f>#N/A</f>
        <v>20.556250000000002</v>
      </c>
      <c r="K61" s="163">
        <v>32.19</v>
      </c>
      <c r="L61" s="163">
        <f>#N/A</f>
        <v>0.7000000000000028</v>
      </c>
      <c r="M61" s="216">
        <f>#N/A</f>
        <v>1.0217458838148494</v>
      </c>
      <c r="N61" s="162" t="e">
        <f>E61-#REF!</f>
        <v>#REF!</v>
      </c>
      <c r="O61" s="166" t="e">
        <f>F61-#REF!</f>
        <v>#REF!</v>
      </c>
      <c r="P61" s="165" t="e">
        <f>#N/A</f>
        <v>#REF!</v>
      </c>
      <c r="Q61" s="163"/>
      <c r="R61" s="36"/>
      <c r="S61" s="93"/>
      <c r="T61" s="145">
        <f>#N/A</f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>#N/A</f>
        <v>0.29000000000000004</v>
      </c>
      <c r="H62" s="162">
        <f>#N/A</f>
        <v>124.16666666666667</v>
      </c>
      <c r="I62" s="163">
        <f>#N/A</f>
        <v>-13.51</v>
      </c>
      <c r="J62" s="163">
        <f>#N/A</f>
        <v>9.933333333333334</v>
      </c>
      <c r="K62" s="163">
        <v>1</v>
      </c>
      <c r="L62" s="163">
        <f>#N/A</f>
        <v>0.49</v>
      </c>
      <c r="M62" s="216">
        <f>#N/A</f>
        <v>1.49</v>
      </c>
      <c r="N62" s="162" t="e">
        <f>E62-#REF!</f>
        <v>#REF!</v>
      </c>
      <c r="O62" s="166" t="e">
        <f>F62-#REF!</f>
        <v>#REF!</v>
      </c>
      <c r="P62" s="165" t="e">
        <f>#N/A</f>
        <v>#REF!</v>
      </c>
      <c r="Q62" s="163" t="e">
        <f>#N/A</f>
        <v>#REF!</v>
      </c>
      <c r="R62" s="36"/>
      <c r="S62" s="93"/>
      <c r="T62" s="145">
        <f>#N/A</f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>#N/A</f>
        <v>0</v>
      </c>
      <c r="H63" s="162"/>
      <c r="I63" s="163">
        <f>#N/A</f>
        <v>0</v>
      </c>
      <c r="J63" s="163"/>
      <c r="K63" s="163">
        <v>0.54</v>
      </c>
      <c r="L63" s="163">
        <f>#N/A</f>
        <v>-0.54</v>
      </c>
      <c r="M63" s="216">
        <f>#N/A</f>
        <v>0</v>
      </c>
      <c r="N63" s="162" t="e">
        <f>E63-#REF!</f>
        <v>#REF!</v>
      </c>
      <c r="O63" s="166" t="e">
        <f>F63-#REF!</f>
        <v>#REF!</v>
      </c>
      <c r="P63" s="165" t="e">
        <f>#N/A</f>
        <v>#REF!</v>
      </c>
      <c r="Q63" s="163"/>
      <c r="R63" s="36"/>
      <c r="S63" s="93"/>
      <c r="T63" s="145">
        <f>#N/A</f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>#N/A</f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>#N/A</f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>#N/A</f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>#N/A</f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>#N/A</f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>#N/A</f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>#N/A</f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>#N/A</f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>#N/A</f>
        <v>11.81</v>
      </c>
      <c r="H72" s="184"/>
      <c r="I72" s="185">
        <f>#N/A</f>
        <v>11.81</v>
      </c>
      <c r="J72" s="185"/>
      <c r="K72" s="185">
        <v>0</v>
      </c>
      <c r="L72" s="185">
        <f>#N/A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>#N/A</f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>#N/A</f>
        <v>0.04</v>
      </c>
      <c r="H73" s="162"/>
      <c r="I73" s="165">
        <f>#N/A</f>
        <v>-3999.96</v>
      </c>
      <c r="J73" s="165">
        <f>F73/D73*100</f>
        <v>0.001</v>
      </c>
      <c r="K73" s="165">
        <v>0.06</v>
      </c>
      <c r="L73" s="165">
        <f>#N/A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>#N/A</f>
        <v>#REF!</v>
      </c>
      <c r="Q73" s="165" t="e">
        <f>O73/N73*100</f>
        <v>#REF!</v>
      </c>
      <c r="R73" s="37"/>
      <c r="S73" s="96"/>
      <c r="T73" s="145">
        <f>#N/A</f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>#N/A</f>
        <v>-598.1</v>
      </c>
      <c r="H74" s="162">
        <f>F74/E74*100</f>
        <v>0.31666666666666665</v>
      </c>
      <c r="I74" s="165">
        <f>#N/A</f>
        <v>-7998.1</v>
      </c>
      <c r="J74" s="165">
        <f>F74/D74*100</f>
        <v>0.02375</v>
      </c>
      <c r="K74" s="165">
        <v>22.91</v>
      </c>
      <c r="L74" s="165">
        <f>#N/A</f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>#N/A</f>
        <v>#REF!</v>
      </c>
      <c r="Q74" s="165" t="e">
        <f>O74/N74*100</f>
        <v>#REF!</v>
      </c>
      <c r="R74" s="37"/>
      <c r="S74" s="96"/>
      <c r="T74" s="145">
        <f>#N/A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>#N/A</f>
        <v>-309.88</v>
      </c>
      <c r="H75" s="162">
        <f>F75/E75*100</f>
        <v>22.53</v>
      </c>
      <c r="I75" s="165">
        <f>#N/A</f>
        <v>-9909.88</v>
      </c>
      <c r="J75" s="165">
        <f>F75/D75*100</f>
        <v>0.9012000000000001</v>
      </c>
      <c r="K75" s="165">
        <v>282.85</v>
      </c>
      <c r="L75" s="165">
        <f>#N/A</f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>#N/A</f>
        <v>#REF!</v>
      </c>
      <c r="Q75" s="165" t="e">
        <f>O75/N75*100</f>
        <v>#REF!</v>
      </c>
      <c r="R75" s="37"/>
      <c r="S75" s="96"/>
      <c r="T75" s="145">
        <f>#N/A</f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>#N/A</f>
        <v>0</v>
      </c>
      <c r="H76" s="162">
        <f>F76/E76*100</f>
        <v>100</v>
      </c>
      <c r="I76" s="165">
        <f>#N/A</f>
        <v>-11</v>
      </c>
      <c r="J76" s="165">
        <f>F76/D76*100</f>
        <v>8.333333333333332</v>
      </c>
      <c r="K76" s="165">
        <v>1</v>
      </c>
      <c r="L76" s="165">
        <f>#N/A</f>
        <v>0</v>
      </c>
      <c r="M76" s="207"/>
      <c r="N76" s="162" t="e">
        <f>E76-#REF!</f>
        <v>#REF!</v>
      </c>
      <c r="O76" s="166" t="e">
        <f>F76-#REF!</f>
        <v>#REF!</v>
      </c>
      <c r="P76" s="165" t="e">
        <f>#N/A</f>
        <v>#REF!</v>
      </c>
      <c r="Q76" s="165" t="e">
        <f>O76/N76*100</f>
        <v>#REF!</v>
      </c>
      <c r="R76" s="37"/>
      <c r="S76" s="134"/>
      <c r="T76" s="145">
        <f>#N/A</f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>#N/A</f>
        <v>-907.94</v>
      </c>
      <c r="H77" s="184">
        <f>F77/E77*100</f>
        <v>9.296703296703297</v>
      </c>
      <c r="I77" s="185">
        <f>#N/A</f>
        <v>-21918.94</v>
      </c>
      <c r="J77" s="185">
        <f>F77/D77*100</f>
        <v>0.42276939850990375</v>
      </c>
      <c r="K77" s="185">
        <v>306.82</v>
      </c>
      <c r="L77" s="185">
        <f>#N/A</f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>#N/A</f>
        <v>#REF!</v>
      </c>
      <c r="Q77" s="185" t="e">
        <f>O77/N77*100</f>
        <v>#REF!</v>
      </c>
      <c r="R77" s="38"/>
      <c r="S77" s="115"/>
      <c r="T77" s="145">
        <f>#N/A</f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>#N/A</f>
        <v>0.34</v>
      </c>
      <c r="H78" s="162"/>
      <c r="I78" s="165">
        <f>#N/A</f>
        <v>-39.66</v>
      </c>
      <c r="J78" s="165"/>
      <c r="K78" s="165">
        <v>0</v>
      </c>
      <c r="L78" s="165">
        <f>#N/A</f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>#N/A</f>
        <v>#REF!</v>
      </c>
      <c r="Q78" s="165"/>
      <c r="R78" s="37"/>
      <c r="S78" s="96"/>
      <c r="T78" s="145">
        <f>#N/A</f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>#N/A</f>
        <v>0</v>
      </c>
      <c r="H79" s="162"/>
      <c r="I79" s="165">
        <f>#N/A</f>
        <v>0</v>
      </c>
      <c r="J79" s="188"/>
      <c r="K79" s="165">
        <v>0</v>
      </c>
      <c r="L79" s="165">
        <f>#N/A</f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>#N/A</f>
        <v>#REF!</v>
      </c>
      <c r="Q79" s="188"/>
      <c r="R79" s="40"/>
      <c r="S79" s="98"/>
      <c r="T79" s="145">
        <f>#N/A</f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>#N/A</f>
        <v>3.9800000000000004</v>
      </c>
      <c r="H80" s="162">
        <f>F80/E80*100</f>
        <v>153.06666666666666</v>
      </c>
      <c r="I80" s="165">
        <f>#N/A</f>
        <v>-8348.52</v>
      </c>
      <c r="J80" s="165">
        <f>F80/D80*100</f>
        <v>0.13732057416267943</v>
      </c>
      <c r="K80" s="165">
        <v>0</v>
      </c>
      <c r="L80" s="165">
        <f>#N/A</f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>#N/A</f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>#N/A</f>
        <v>0</v>
      </c>
      <c r="H81" s="162"/>
      <c r="I81" s="165">
        <f>#N/A</f>
        <v>0</v>
      </c>
      <c r="J81" s="165"/>
      <c r="K81" s="165">
        <v>1.31</v>
      </c>
      <c r="L81" s="165">
        <f>#N/A</f>
        <v>-1.31</v>
      </c>
      <c r="M81" s="207">
        <f>#N/A</f>
        <v>0</v>
      </c>
      <c r="N81" s="162" t="e">
        <f>E81-#REF!</f>
        <v>#REF!</v>
      </c>
      <c r="O81" s="166" t="e">
        <f>F81-#REF!</f>
        <v>#REF!</v>
      </c>
      <c r="P81" s="165" t="e">
        <f>#N/A</f>
        <v>#REF!</v>
      </c>
      <c r="Q81" s="165"/>
      <c r="R81" s="37"/>
      <c r="S81" s="96"/>
      <c r="T81" s="145">
        <f>#N/A</f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>#N/A</f>
        <v>-8388.18</v>
      </c>
      <c r="J82" s="185">
        <f>F82/D82*100</f>
        <v>0.14071428571428574</v>
      </c>
      <c r="K82" s="185">
        <v>0.12</v>
      </c>
      <c r="L82" s="185">
        <f>#N/A</f>
        <v>11.700000000000001</v>
      </c>
      <c r="M82" s="218">
        <f>#N/A</f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>#N/A</f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>#N/A</f>
        <v>-2.06</v>
      </c>
      <c r="H83" s="162">
        <f>F83/E83*100</f>
        <v>14.16666666666667</v>
      </c>
      <c r="I83" s="165">
        <f>#N/A</f>
        <v>-37.66</v>
      </c>
      <c r="J83" s="165">
        <f>F83/D83*100</f>
        <v>0.8947368421052633</v>
      </c>
      <c r="K83" s="165">
        <v>0.35</v>
      </c>
      <c r="L83" s="165">
        <f>#N/A</f>
        <v>-0.009999999999999953</v>
      </c>
      <c r="M83" s="207">
        <f>#N/A</f>
        <v>0.9714285714285715</v>
      </c>
      <c r="N83" s="162" t="e">
        <f>E83-#REF!</f>
        <v>#REF!</v>
      </c>
      <c r="O83" s="166" t="e">
        <f>F83-#REF!</f>
        <v>#REF!</v>
      </c>
      <c r="P83" s="165" t="e">
        <f>#N/A</f>
        <v>#REF!</v>
      </c>
      <c r="Q83" s="165" t="e">
        <f>O83/N83</f>
        <v>#REF!</v>
      </c>
      <c r="R83" s="37"/>
      <c r="S83" s="96"/>
      <c r="T83" s="145">
        <f>#N/A</f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>#N/A</f>
        <v>0</v>
      </c>
      <c r="H84" s="162"/>
      <c r="I84" s="165">
        <f>#N/A</f>
        <v>0</v>
      </c>
      <c r="J84" s="165"/>
      <c r="K84" s="165">
        <v>0</v>
      </c>
      <c r="L84" s="165">
        <f>#N/A</f>
        <v>0</v>
      </c>
      <c r="M84" s="165" t="e">
        <f>#N/A</f>
        <v>#DIV/0!</v>
      </c>
      <c r="N84" s="162" t="e">
        <f>E84-#REF!</f>
        <v>#REF!</v>
      </c>
      <c r="O84" s="166" t="e">
        <f>F84-#REF!</f>
        <v>#REF!</v>
      </c>
      <c r="P84" s="165" t="e">
        <f>#N/A</f>
        <v>#REF!</v>
      </c>
      <c r="Q84" s="165"/>
      <c r="R84" s="37"/>
      <c r="S84" s="96"/>
      <c r="T84" s="145">
        <f>#N/A</f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>#N/A</f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>#N/A</f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>#N/A</f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>#N/A</f>
        <v>1.5605560036841895</v>
      </c>
      <c r="N86" s="190" t="e">
        <f>N64+N85</f>
        <v>#REF!</v>
      </c>
      <c r="O86" s="190" t="e">
        <f>O64+O85</f>
        <v>#REF!</v>
      </c>
      <c r="P86" s="192" t="e">
        <f>#N/A</f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>#N/A</f>
        <v>1289573.7000000002</v>
      </c>
    </row>
    <row r="87" spans="2:20" ht="15">
      <c r="B87" s="20" t="s">
        <v>34</v>
      </c>
      <c r="O87" s="25"/>
      <c r="T87" s="145">
        <f>#N/A</f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>#N/A</f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25"/>
      <c r="H89" s="325"/>
      <c r="I89" s="325"/>
      <c r="J89" s="325"/>
      <c r="K89" s="83"/>
      <c r="L89" s="83"/>
      <c r="M89" s="83"/>
      <c r="Q89" s="25"/>
      <c r="R89" s="25"/>
      <c r="T89" s="145" t="e">
        <f>#N/A</f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13"/>
      <c r="P90" s="313"/>
      <c r="T90" s="145">
        <f>#N/A</f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09"/>
      <c r="H91" s="309"/>
      <c r="I91" s="117"/>
      <c r="J91" s="346"/>
      <c r="K91" s="346"/>
      <c r="L91" s="346"/>
      <c r="M91" s="346"/>
      <c r="N91" s="346"/>
      <c r="O91" s="313"/>
      <c r="P91" s="313"/>
    </row>
    <row r="92" spans="3:16" ht="15.75" customHeight="1">
      <c r="C92" s="80">
        <v>42762</v>
      </c>
      <c r="D92" s="28">
        <v>8862.4</v>
      </c>
      <c r="F92" s="67"/>
      <c r="G92" s="309"/>
      <c r="H92" s="309"/>
      <c r="I92" s="117"/>
      <c r="J92" s="347"/>
      <c r="K92" s="347"/>
      <c r="L92" s="347"/>
      <c r="M92" s="347"/>
      <c r="N92" s="347"/>
      <c r="O92" s="313"/>
      <c r="P92" s="313"/>
    </row>
    <row r="93" spans="3:14" ht="15.75" customHeight="1">
      <c r="C93" s="80"/>
      <c r="F93" s="67"/>
      <c r="G93" s="314"/>
      <c r="H93" s="314"/>
      <c r="I93" s="123"/>
      <c r="J93" s="346"/>
      <c r="K93" s="346"/>
      <c r="L93" s="346"/>
      <c r="M93" s="346"/>
      <c r="N93" s="346"/>
    </row>
    <row r="94" spans="2:14" ht="18.75" customHeight="1">
      <c r="B94" s="315" t="s">
        <v>56</v>
      </c>
      <c r="C94" s="316"/>
      <c r="D94" s="132">
        <f>9505303.41/1000</f>
        <v>9505.30341</v>
      </c>
      <c r="E94" s="68"/>
      <c r="F94" s="124" t="s">
        <v>105</v>
      </c>
      <c r="G94" s="309"/>
      <c r="H94" s="309"/>
      <c r="I94" s="125"/>
      <c r="J94" s="346"/>
      <c r="K94" s="346"/>
      <c r="L94" s="346"/>
      <c r="M94" s="346"/>
      <c r="N94" s="346"/>
    </row>
    <row r="95" spans="6:13" ht="9.75" customHeight="1">
      <c r="F95" s="67"/>
      <c r="G95" s="309"/>
      <c r="H95" s="309"/>
      <c r="I95" s="67"/>
      <c r="J95" s="68"/>
      <c r="K95" s="68"/>
      <c r="L95" s="68"/>
      <c r="M95" s="68"/>
    </row>
    <row r="96" spans="2:13" ht="22.5" customHeight="1" hidden="1">
      <c r="B96" s="310" t="s">
        <v>59</v>
      </c>
      <c r="C96" s="311"/>
      <c r="D96" s="79">
        <v>0</v>
      </c>
      <c r="E96" s="50" t="s">
        <v>24</v>
      </c>
      <c r="F96" s="67"/>
      <c r="G96" s="309"/>
      <c r="H96" s="309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12"/>
      <c r="P98" s="312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>#N/A</f>
        <v>2026.0900000000001</v>
      </c>
      <c r="L100" s="28">
        <f>#N/A</f>
        <v>2191.7899999999995</v>
      </c>
      <c r="M100" s="28">
        <f>#N/A</f>
        <v>10.18479694691847</v>
      </c>
      <c r="N100" s="28" t="e">
        <f>#N/A</f>
        <v>#REF!</v>
      </c>
      <c r="O100" s="227" t="e">
        <f>#N/A</f>
        <v>#REF!</v>
      </c>
      <c r="P100" s="28" t="e">
        <f>#N/A</f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>#N/A</f>
        <v>97356.5</v>
      </c>
      <c r="F101" s="227">
        <f>#N/A</f>
        <v>98086.19</v>
      </c>
      <c r="G101" s="28">
        <f>#N/A</f>
        <v>729.6900000000005</v>
      </c>
      <c r="H101" s="228">
        <f>F101/E101</f>
        <v>1.007495031148408</v>
      </c>
      <c r="I101" s="28">
        <f>#N/A</f>
        <v>-1259404.9100000001</v>
      </c>
      <c r="J101" s="228">
        <f>F101/D101</f>
        <v>0.07225549397708758</v>
      </c>
      <c r="K101" s="28">
        <f>#N/A</f>
        <v>2026.0900000000001</v>
      </c>
      <c r="L101" s="28">
        <f>#N/A</f>
        <v>2191.7899999999995</v>
      </c>
      <c r="M101" s="28">
        <f>#N/A</f>
        <v>10.18479694691847</v>
      </c>
      <c r="N101" s="28" t="e">
        <f>#N/A</f>
        <v>#REF!</v>
      </c>
      <c r="O101" s="227" t="e">
        <f>#N/A</f>
        <v>#REF!</v>
      </c>
      <c r="P101" s="28" t="e">
        <f>#N/A</f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>#N/A</f>
        <v>0</v>
      </c>
      <c r="F102" s="28">
        <f>#N/A</f>
        <v>0</v>
      </c>
      <c r="G102" s="28">
        <f>#N/A</f>
        <v>1.8189894035458565E-12</v>
      </c>
      <c r="H102" s="228"/>
      <c r="I102" s="28">
        <f>#N/A</f>
        <v>0</v>
      </c>
      <c r="J102" s="228"/>
      <c r="K102" s="28">
        <f>#N/A</f>
        <v>60586.5</v>
      </c>
      <c r="L102" s="28">
        <f>#N/A</f>
        <v>33281.810000000005</v>
      </c>
      <c r="M102" s="28">
        <f>#N/A</f>
        <v>-8.618239965327387</v>
      </c>
      <c r="N102" s="28" t="e">
        <f>#N/A</f>
        <v>#REF!</v>
      </c>
      <c r="O102" s="28" t="e">
        <f>#N/A</f>
        <v>#REF!</v>
      </c>
      <c r="P102" s="28" t="e">
        <f>#N/A</f>
        <v>#REF!</v>
      </c>
      <c r="Q102" s="28"/>
      <c r="R102" s="28" t="e">
        <f>#N/A</f>
        <v>#REF!</v>
      </c>
      <c r="S102" s="28" t="e">
        <f>#N/A</f>
        <v>#REF!</v>
      </c>
      <c r="T102" s="28">
        <f>#N/A</f>
        <v>1260134.6</v>
      </c>
      <c r="U102" s="28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2017-09-04T12:11:52Z</cp:lastPrinted>
  <dcterms:created xsi:type="dcterms:W3CDTF">2003-07-28T11:27:56Z</dcterms:created>
  <dcterms:modified xsi:type="dcterms:W3CDTF">2017-09-04T13:02:14Z</dcterms:modified>
  <cp:category/>
  <cp:version/>
  <cp:contentType/>
  <cp:contentStatus/>
</cp:coreProperties>
</file>